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5" yWindow="-15" windowWidth="20550" windowHeight="4110"/>
  </bookViews>
  <sheets>
    <sheet name="Расчёт дверей GRANDIS" sheetId="1" r:id="rId1"/>
    <sheet name="Расчет фасадов GRANDIS" sheetId="2" r:id="rId2"/>
    <sheet name="складная С" sheetId="4" r:id="rId3"/>
    <sheet name="складная RH" sheetId="5" r:id="rId4"/>
  </sheets>
  <calcPr calcId="124519" refMode="R1C1"/>
</workbook>
</file>

<file path=xl/calcChain.xml><?xml version="1.0" encoding="utf-8"?>
<calcChain xmlns="http://schemas.openxmlformats.org/spreadsheetml/2006/main">
  <c r="N27" i="1"/>
  <c r="N23"/>
  <c r="N22"/>
  <c r="N26" s="1"/>
  <c r="N21"/>
  <c r="N25" s="1"/>
  <c r="F25"/>
  <c r="N24" l="1"/>
  <c r="N28"/>
  <c r="O22"/>
  <c r="O24" s="1"/>
  <c r="O38" s="1"/>
  <c r="M22"/>
  <c r="M33" s="1"/>
  <c r="Q22"/>
  <c r="Q28" s="1"/>
  <c r="P22"/>
  <c r="P31" s="1"/>
  <c r="Q21"/>
  <c r="Q23" s="1"/>
  <c r="P21"/>
  <c r="P23" s="1"/>
  <c r="O21"/>
  <c r="O23" s="1"/>
  <c r="F22"/>
  <c r="F26" s="1"/>
  <c r="F39" s="1"/>
  <c r="F30"/>
  <c r="G22"/>
  <c r="G33" s="1"/>
  <c r="G30"/>
  <c r="H22"/>
  <c r="H33" s="1"/>
  <c r="H30"/>
  <c r="I22"/>
  <c r="I33" s="1"/>
  <c r="I30"/>
  <c r="J22"/>
  <c r="J31" s="1"/>
  <c r="J30"/>
  <c r="K22"/>
  <c r="K30"/>
  <c r="L22"/>
  <c r="L33" s="1"/>
  <c r="L30"/>
  <c r="M30"/>
  <c r="O30"/>
  <c r="Q30"/>
  <c r="P30"/>
  <c r="K21"/>
  <c r="K23" l="1"/>
  <c r="K25"/>
  <c r="K33"/>
  <c r="K28"/>
  <c r="F32"/>
  <c r="F24"/>
  <c r="F38" s="1"/>
  <c r="F28"/>
  <c r="Q24"/>
  <c r="Q38" s="1"/>
  <c r="G26"/>
  <c r="G39" s="1"/>
  <c r="K34"/>
  <c r="J32"/>
  <c r="H32"/>
  <c r="H24"/>
  <c r="H38" s="1"/>
  <c r="P25"/>
  <c r="Q31"/>
  <c r="O28"/>
  <c r="J28"/>
  <c r="J26"/>
  <c r="J39" s="1"/>
  <c r="O34"/>
  <c r="O33"/>
  <c r="J33"/>
  <c r="F33"/>
  <c r="H34"/>
  <c r="F31"/>
  <c r="L28"/>
  <c r="H28"/>
  <c r="H31"/>
  <c r="H26"/>
  <c r="H39" s="1"/>
  <c r="L34"/>
  <c r="G34"/>
  <c r="I24"/>
  <c r="I38" s="1"/>
  <c r="G24"/>
  <c r="G38" s="1"/>
  <c r="I32"/>
  <c r="P28"/>
  <c r="M28"/>
  <c r="I28"/>
  <c r="G28"/>
  <c r="M34"/>
  <c r="I26"/>
  <c r="I39" s="1"/>
  <c r="I31"/>
  <c r="G31"/>
  <c r="I34"/>
  <c r="P33"/>
  <c r="O31"/>
  <c r="O35" s="1"/>
  <c r="J34"/>
  <c r="F34"/>
  <c r="G32"/>
  <c r="J24"/>
  <c r="Q26"/>
  <c r="Q39" s="1"/>
  <c r="Q34"/>
  <c r="P24"/>
  <c r="P34"/>
  <c r="P26"/>
  <c r="P39" s="1"/>
  <c r="O26"/>
  <c r="O39" s="1"/>
  <c r="O32"/>
  <c r="Q32"/>
  <c r="Q33"/>
  <c r="P32"/>
  <c r="M21"/>
  <c r="P35" l="1"/>
  <c r="P38"/>
  <c r="J35"/>
  <c r="J38"/>
  <c r="F36"/>
  <c r="Q35"/>
  <c r="G36"/>
  <c r="J36"/>
  <c r="H36"/>
  <c r="O36"/>
  <c r="H35"/>
  <c r="O37"/>
  <c r="Q36"/>
  <c r="P36"/>
  <c r="F35"/>
  <c r="P37"/>
  <c r="Q25"/>
  <c r="Q27"/>
  <c r="I35"/>
  <c r="I36"/>
  <c r="G35"/>
  <c r="J37"/>
  <c r="Q37"/>
  <c r="K26"/>
  <c r="K39" s="1"/>
  <c r="K31"/>
  <c r="K24"/>
  <c r="K38" s="1"/>
  <c r="L31"/>
  <c r="L26"/>
  <c r="L39" s="1"/>
  <c r="L24"/>
  <c r="L38" s="1"/>
  <c r="L32"/>
  <c r="K32"/>
  <c r="K37"/>
  <c r="O27"/>
  <c r="O25"/>
  <c r="M27"/>
  <c r="L21"/>
  <c r="P27" l="1"/>
  <c r="L35"/>
  <c r="K35"/>
  <c r="L36"/>
  <c r="K36"/>
  <c r="M31"/>
  <c r="M24"/>
  <c r="M38" s="1"/>
  <c r="M32"/>
  <c r="M26"/>
  <c r="M39" s="1"/>
  <c r="M37"/>
  <c r="L23"/>
  <c r="L25"/>
  <c r="M25"/>
  <c r="M23"/>
  <c r="G9"/>
  <c r="H21"/>
  <c r="F11" i="5"/>
  <c r="F14"/>
  <c r="F13"/>
  <c r="B13"/>
  <c r="B11"/>
  <c r="F10"/>
  <c r="F9"/>
  <c r="B9"/>
  <c r="B10" s="1"/>
  <c r="F8"/>
  <c r="B8"/>
  <c r="B12" s="1"/>
  <c r="F7"/>
  <c r="B7"/>
  <c r="B7" i="4"/>
  <c r="B8"/>
  <c r="B14" s="1"/>
  <c r="B9"/>
  <c r="B10" s="1"/>
  <c r="B12"/>
  <c r="B13"/>
  <c r="F9"/>
  <c r="F10" s="1"/>
  <c r="M35" i="1" l="1"/>
  <c r="M36"/>
  <c r="H25"/>
  <c r="H23"/>
  <c r="H37"/>
  <c r="H27"/>
  <c r="B11" i="4"/>
  <c r="B14" i="5"/>
  <c r="F12"/>
  <c r="F13" i="4"/>
  <c r="F11"/>
  <c r="G37" i="1" l="1"/>
  <c r="F8" i="4"/>
  <c r="F14" s="1"/>
  <c r="F7"/>
  <c r="G10" i="1"/>
  <c r="G21"/>
  <c r="E3" i="2"/>
  <c r="F5"/>
  <c r="F4"/>
  <c r="F3"/>
  <c r="E5"/>
  <c r="E4"/>
  <c r="G25" i="1" l="1"/>
  <c r="G23"/>
  <c r="F37"/>
  <c r="G27"/>
  <c r="F12" i="4"/>
  <c r="F21" i="1"/>
  <c r="I21"/>
  <c r="I23" s="1"/>
  <c r="J21"/>
  <c r="J25" s="1"/>
  <c r="L37"/>
  <c r="G4" i="2"/>
  <c r="L27" i="1"/>
  <c r="G5" i="2"/>
  <c r="G3"/>
  <c r="F23" i="1" l="1"/>
  <c r="I37"/>
  <c r="I25"/>
  <c r="I27"/>
  <c r="K27"/>
  <c r="J23"/>
  <c r="J27"/>
  <c r="F27"/>
</calcChain>
</file>

<file path=xl/comments1.xml><?xml version="1.0" encoding="utf-8"?>
<comments xmlns="http://schemas.openxmlformats.org/spreadsheetml/2006/main">
  <authors>
    <author>vab</author>
    <author>Grand</author>
  </authors>
  <commentList>
    <comment ref="F3" authorId="0">
      <text>
        <r>
          <rPr>
            <b/>
            <sz val="8"/>
            <color indexed="81"/>
            <rFont val="Tahoma"/>
            <family val="2"/>
            <charset val="204"/>
          </rPr>
          <t>GRANDIS:введите данные для расчёта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4" authorId="0">
      <text>
        <r>
          <rPr>
            <b/>
            <sz val="8"/>
            <color indexed="81"/>
            <rFont val="Tahoma"/>
            <family val="2"/>
            <charset val="204"/>
          </rPr>
          <t>GRANDIS:введите данные для расчёта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GRANDIS:введите данные для расчёта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6" authorId="0">
      <text>
        <r>
          <rPr>
            <b/>
            <sz val="8"/>
            <color indexed="81"/>
            <rFont val="Tahoma"/>
            <family val="2"/>
            <charset val="204"/>
          </rPr>
          <t>GRANDIS:введите данные для расчёта</t>
        </r>
      </text>
    </comment>
    <comment ref="H2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для RH на 2 мм больше
</t>
        </r>
      </text>
    </comment>
    <comment ref="I2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для RH на 2 мм больше
</t>
        </r>
      </text>
    </comment>
    <comment ref="H26" authorId="1">
      <text>
        <r>
          <rPr>
            <b/>
            <sz val="9"/>
            <color indexed="81"/>
            <rFont val="Tahoma"/>
            <family val="2"/>
            <charset val="204"/>
          </rPr>
          <t>для RH на 2 мм больше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26" authorId="1">
      <text>
        <r>
          <rPr>
            <b/>
            <sz val="9"/>
            <color indexed="81"/>
            <rFont val="Tahoma"/>
            <family val="2"/>
            <charset val="204"/>
          </rPr>
          <t>для RH на 2 мм больше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8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для RH на 2 мм больше
</t>
        </r>
      </text>
    </comment>
    <comment ref="I28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для RH на 2 мм больше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  <charset val="204"/>
          </rPr>
          <t>GRANDIS:введите данные для расчёта</t>
        </r>
      </text>
    </comment>
    <comment ref="C3" authorId="0">
      <text>
        <r>
          <rPr>
            <b/>
            <sz val="9"/>
            <color indexed="81"/>
            <rFont val="Tahoma"/>
            <family val="2"/>
            <charset val="204"/>
          </rPr>
          <t>GRANDIS:введите данные для расчёта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<sst xmlns="http://schemas.openxmlformats.org/spreadsheetml/2006/main" count="147" uniqueCount="100">
  <si>
    <t>www.grandis.pro</t>
  </si>
  <si>
    <t>обозначение на эскизе</t>
  </si>
  <si>
    <t>"C"</t>
  </si>
  <si>
    <t>"H"</t>
  </si>
  <si>
    <t>Исходные данные</t>
  </si>
  <si>
    <t>Проём</t>
  </si>
  <si>
    <t xml:space="preserve">высота </t>
  </si>
  <si>
    <t>A</t>
  </si>
  <si>
    <t>ширина</t>
  </si>
  <si>
    <t>B</t>
  </si>
  <si>
    <t xml:space="preserve">Количество дверей </t>
  </si>
  <si>
    <t>C</t>
  </si>
  <si>
    <t>Количество перекрытий дверей</t>
  </si>
  <si>
    <t>D</t>
  </si>
  <si>
    <t>Размеры сечения профилей</t>
  </si>
  <si>
    <t>Вертикаль</t>
  </si>
  <si>
    <t>E</t>
  </si>
  <si>
    <t>F</t>
  </si>
  <si>
    <t>глубина паза для панели</t>
  </si>
  <si>
    <t>G</t>
  </si>
  <si>
    <t>Горизонт узкий (верхний)</t>
  </si>
  <si>
    <t>H</t>
  </si>
  <si>
    <t>J</t>
  </si>
  <si>
    <t>от края профиля до оси самореза</t>
  </si>
  <si>
    <t>K</t>
  </si>
  <si>
    <t>Горизонт широкий (нижний)</t>
  </si>
  <si>
    <t>L</t>
  </si>
  <si>
    <t>M</t>
  </si>
  <si>
    <t>N</t>
  </si>
  <si>
    <t>Разделитель</t>
  </si>
  <si>
    <t>O</t>
  </si>
  <si>
    <t>глубина пазов для панелей</t>
  </si>
  <si>
    <t>P</t>
  </si>
  <si>
    <t>толщина центральной перемычки</t>
  </si>
  <si>
    <t>R</t>
  </si>
  <si>
    <t>Рассчитываемые размеры</t>
  </si>
  <si>
    <t>Дверь в сборе</t>
  </si>
  <si>
    <t>S</t>
  </si>
  <si>
    <t>T</t>
  </si>
  <si>
    <t>Панель 10мм (без уплотнителя)</t>
  </si>
  <si>
    <t>U</t>
  </si>
  <si>
    <t>V</t>
  </si>
  <si>
    <t>Панель 4мм (на уплотнителе)</t>
  </si>
  <si>
    <t>W</t>
  </si>
  <si>
    <t>X</t>
  </si>
  <si>
    <t>Вертикальный профиль</t>
  </si>
  <si>
    <t xml:space="preserve"> = S</t>
  </si>
  <si>
    <t>Y</t>
  </si>
  <si>
    <t>Горизонтальные профили</t>
  </si>
  <si>
    <t xml:space="preserve"> = T-2*(E-F)</t>
  </si>
  <si>
    <t>Z</t>
  </si>
  <si>
    <t>"CL"</t>
  </si>
  <si>
    <t>"H2"</t>
  </si>
  <si>
    <t>высота мм</t>
  </si>
  <si>
    <t>ширина мм</t>
  </si>
  <si>
    <t>площадь кв. м.</t>
  </si>
  <si>
    <t>Фасад алюминевый 45х8 (лицевая часть 8мм)</t>
  </si>
  <si>
    <t>Фасад алюминевый 45х20 (лицевая часть 20мм)</t>
  </si>
  <si>
    <t>Фасад алюминевый ФБС (лицевая часть 23мм)</t>
  </si>
  <si>
    <t>размер фасада</t>
  </si>
  <si>
    <t>размер вставки</t>
  </si>
  <si>
    <t>от размера фасада</t>
  </si>
  <si>
    <t>Рамка фасада</t>
  </si>
  <si>
    <t>паз для горизонтальных профилей</t>
  </si>
  <si>
    <r>
      <t>высота</t>
    </r>
    <r>
      <rPr>
        <sz val="11"/>
        <color theme="0"/>
        <rFont val="Calibri"/>
        <family val="2"/>
        <charset val="204"/>
        <scheme val="minor"/>
      </rPr>
      <t xml:space="preserve">  = A-40</t>
    </r>
  </si>
  <si>
    <r>
      <t>ширина</t>
    </r>
    <r>
      <rPr>
        <sz val="11"/>
        <color theme="0"/>
        <rFont val="Calibri"/>
        <family val="2"/>
        <charset val="204"/>
        <scheme val="minor"/>
      </rPr>
      <t>= (B+D*E)/C</t>
    </r>
  </si>
  <si>
    <r>
      <t>высота</t>
    </r>
    <r>
      <rPr>
        <sz val="11"/>
        <color theme="0"/>
        <rFont val="Calibri"/>
        <family val="2"/>
        <charset val="204"/>
        <scheme val="minor"/>
      </rPr>
      <t xml:space="preserve">  = S-H+J-L+M-2</t>
    </r>
  </si>
  <si>
    <r>
      <t>ширина</t>
    </r>
    <r>
      <rPr>
        <sz val="11"/>
        <color theme="0"/>
        <rFont val="Calibri"/>
        <family val="2"/>
        <charset val="204"/>
        <scheme val="minor"/>
      </rPr>
      <t>= T-2*(E-G)-2</t>
    </r>
  </si>
  <si>
    <r>
      <t>высота</t>
    </r>
    <r>
      <rPr>
        <sz val="11"/>
        <color theme="0"/>
        <rFont val="Calibri"/>
        <family val="2"/>
        <charset val="204"/>
        <scheme val="minor"/>
      </rPr>
      <t xml:space="preserve">  = S-H+J-L+M-4 </t>
    </r>
  </si>
  <si>
    <r>
      <t>ширина</t>
    </r>
    <r>
      <rPr>
        <sz val="11"/>
        <color theme="0"/>
        <rFont val="Calibri"/>
        <family val="2"/>
        <charset val="204"/>
        <scheme val="minor"/>
      </rPr>
      <t>= T-2*(E-G)-4</t>
    </r>
  </si>
  <si>
    <r>
      <t xml:space="preserve">Расчёт </t>
    </r>
    <r>
      <rPr>
        <b/>
        <u/>
        <sz val="11"/>
        <color theme="1"/>
        <rFont val="Calibri"/>
        <family val="2"/>
        <charset val="204"/>
        <scheme val="minor"/>
      </rPr>
      <t>ПОДВЕСНЫХ</t>
    </r>
    <r>
      <rPr>
        <b/>
        <sz val="11"/>
        <color theme="1"/>
        <rFont val="Calibri"/>
        <family val="2"/>
        <charset val="204"/>
        <scheme val="minor"/>
      </rPr>
      <t xml:space="preserve"> дверей по ШИРИНЕ аналогичен вышеприведённому и зависит от используемого вертикального профиля. Расчёт ПОДВЕСНЫХ (как раздвижных, так и складных) дверей по ВЫСОТЕ:  Высота двери = высота проёма минус 58мм. Высота заполнения без уплотнителя = высота двери минус 93мм (используются широкие горизонтальные профили сверху и снизу).</t>
    </r>
  </si>
  <si>
    <t>Высота проема</t>
  </si>
  <si>
    <t>Ширина проема</t>
  </si>
  <si>
    <t>Профиль-ручка ( высота двери)</t>
  </si>
  <si>
    <t>Высота профиля</t>
  </si>
  <si>
    <t>Ширина двери</t>
  </si>
  <si>
    <t>Дверь ширина</t>
  </si>
  <si>
    <t>Ширина вставка ЛДСП</t>
  </si>
  <si>
    <t>Высота вставки ЛДСП</t>
  </si>
  <si>
    <t>Ширина вставки Зеркало</t>
  </si>
  <si>
    <t>Высота вставки Зеркало</t>
  </si>
  <si>
    <t>Профиль С-премиум</t>
  </si>
  <si>
    <t>Горизонт нижний</t>
  </si>
  <si>
    <t>дверей</t>
  </si>
  <si>
    <t xml:space="preserve">1 дверный складной комплект </t>
  </si>
  <si>
    <t>2 х дверный складной комлект</t>
  </si>
  <si>
    <t>Трек подвеснойдвери /трек складной,распашной двери</t>
  </si>
  <si>
    <t>Профиль RH-премиум</t>
  </si>
  <si>
    <t>"RH"</t>
  </si>
  <si>
    <t>НЕО-лайт</t>
  </si>
  <si>
    <t>ПВХ ЭКЛ</t>
  </si>
  <si>
    <r>
      <t xml:space="preserve">"C" </t>
    </r>
    <r>
      <rPr>
        <sz val="12"/>
        <color indexed="8"/>
        <rFont val="Calibri"/>
        <family val="2"/>
        <charset val="204"/>
      </rPr>
      <t>ПВХ ЭКЛ</t>
    </r>
  </si>
  <si>
    <t>"H" ПВХ ЭКЛ</t>
  </si>
  <si>
    <r>
      <t xml:space="preserve">"C" </t>
    </r>
    <r>
      <rPr>
        <sz val="12"/>
        <color indexed="8"/>
        <rFont val="Calibri"/>
        <family val="2"/>
        <charset val="204"/>
      </rPr>
      <t>ЭКО</t>
    </r>
  </si>
  <si>
    <t>"H" ЭКО</t>
  </si>
  <si>
    <t>Премиум</t>
  </si>
  <si>
    <t>ЭКО-лайт</t>
  </si>
  <si>
    <t xml:space="preserve">одна </t>
  </si>
  <si>
    <t>все</t>
  </si>
  <si>
    <r>
      <t>НЕО-лайт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9"/>
        <color theme="1"/>
        <rFont val="Calibri"/>
        <family val="2"/>
        <charset val="204"/>
        <scheme val="minor"/>
      </rPr>
      <t>с плоским горизонтом</t>
    </r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</si>
</sst>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0.0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 Black"/>
      <family val="2"/>
      <charset val="204"/>
    </font>
    <font>
      <b/>
      <sz val="10"/>
      <name val="Arial Black"/>
      <family val="2"/>
      <charset val="204"/>
    </font>
    <font>
      <sz val="10"/>
      <color theme="1"/>
      <name val="Arial Black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26E6F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0" fillId="0" borderId="0" xfId="0" applyAlignment="1">
      <alignment wrapText="1"/>
    </xf>
    <xf numFmtId="0" fontId="4" fillId="0" borderId="0" xfId="1" applyFont="1" applyAlignment="1" applyProtection="1">
      <alignment wrapText="1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0" borderId="17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1" fillId="0" borderId="21" xfId="0" applyFont="1" applyBorder="1" applyAlignment="1">
      <alignment horizontal="center"/>
    </xf>
    <xf numFmtId="0" fontId="0" fillId="0" borderId="23" xfId="0" applyBorder="1"/>
    <xf numFmtId="0" fontId="1" fillId="0" borderId="24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25" xfId="0" applyBorder="1"/>
    <xf numFmtId="0" fontId="1" fillId="0" borderId="2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/>
    <xf numFmtId="0" fontId="9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17" xfId="0" applyFont="1" applyBorder="1"/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0" fontId="9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0" fontId="11" fillId="0" borderId="27" xfId="0" applyFont="1" applyBorder="1"/>
    <xf numFmtId="0" fontId="11" fillId="0" borderId="12" xfId="0" applyFont="1" applyBorder="1"/>
    <xf numFmtId="0" fontId="1" fillId="0" borderId="3" xfId="0" applyFont="1" applyBorder="1"/>
    <xf numFmtId="0" fontId="1" fillId="0" borderId="7" xfId="0" applyFont="1" applyBorder="1"/>
    <xf numFmtId="0" fontId="0" fillId="3" borderId="0" xfId="0" applyFill="1"/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4" fontId="0" fillId="3" borderId="28" xfId="0" applyNumberForma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0" xfId="0" applyBorder="1"/>
    <xf numFmtId="0" fontId="0" fillId="0" borderId="41" xfId="0" applyBorder="1"/>
    <xf numFmtId="0" fontId="0" fillId="4" borderId="40" xfId="0" applyFill="1" applyBorder="1"/>
    <xf numFmtId="0" fontId="0" fillId="0" borderId="42" xfId="0" applyBorder="1"/>
    <xf numFmtId="0" fontId="20" fillId="5" borderId="44" xfId="0" applyFont="1" applyFill="1" applyBorder="1" applyAlignment="1">
      <alignment horizontal="right" vertical="center"/>
    </xf>
    <xf numFmtId="0" fontId="20" fillId="5" borderId="45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5" borderId="43" xfId="0" applyFont="1" applyFill="1" applyBorder="1" applyAlignment="1">
      <alignment horizontal="center"/>
    </xf>
    <xf numFmtId="0" fontId="14" fillId="5" borderId="44" xfId="0" applyFont="1" applyFill="1" applyBorder="1" applyAlignment="1">
      <alignment horizontal="right" vertical="center"/>
    </xf>
    <xf numFmtId="0" fontId="14" fillId="5" borderId="45" xfId="0" applyFont="1" applyFill="1" applyBorder="1" applyAlignment="1">
      <alignment horizontal="left" vertical="center"/>
    </xf>
    <xf numFmtId="0" fontId="14" fillId="5" borderId="22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" fillId="0" borderId="40" xfId="0" applyFont="1" applyBorder="1"/>
    <xf numFmtId="0" fontId="19" fillId="5" borderId="2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5" borderId="4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2" borderId="0" xfId="0" applyFill="1" applyAlignment="1">
      <alignment wrapText="1"/>
    </xf>
    <xf numFmtId="0" fontId="0" fillId="6" borderId="17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22" xfId="0" applyFill="1" applyBorder="1"/>
    <xf numFmtId="0" fontId="0" fillId="6" borderId="4" xfId="0" applyFill="1" applyBorder="1" applyAlignment="1">
      <alignment vertical="center"/>
    </xf>
    <xf numFmtId="164" fontId="0" fillId="6" borderId="26" xfId="0" applyNumberFormat="1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0" borderId="16" xfId="0" applyBorder="1" applyAlignment="1"/>
    <xf numFmtId="0" fontId="0" fillId="6" borderId="2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/>
    <xf numFmtId="0" fontId="1" fillId="0" borderId="22" xfId="0" applyFont="1" applyBorder="1" applyAlignment="1">
      <alignment wrapText="1"/>
    </xf>
    <xf numFmtId="0" fontId="2" fillId="0" borderId="22" xfId="0" applyFont="1" applyBorder="1" applyAlignment="1">
      <alignment horizontal="right" wrapText="1"/>
    </xf>
    <xf numFmtId="0" fontId="4" fillId="0" borderId="22" xfId="1" applyFont="1" applyBorder="1" applyAlignment="1" applyProtection="1">
      <alignment wrapText="1"/>
    </xf>
    <xf numFmtId="0" fontId="1" fillId="0" borderId="22" xfId="0" applyFont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0" fillId="0" borderId="0" xfId="0" applyFill="1"/>
    <xf numFmtId="0" fontId="0" fillId="7" borderId="4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0" fillId="7" borderId="32" xfId="0" applyFill="1" applyBorder="1" applyAlignment="1"/>
    <xf numFmtId="0" fontId="0" fillId="7" borderId="19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0" fontId="0" fillId="7" borderId="62" xfId="0" applyFill="1" applyBorder="1" applyAlignment="1"/>
    <xf numFmtId="0" fontId="0" fillId="7" borderId="50" xfId="0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1" fillId="0" borderId="0" xfId="0" applyFont="1" applyBorder="1"/>
    <xf numFmtId="0" fontId="11" fillId="0" borderId="0" xfId="0" applyFont="1" applyBorder="1"/>
    <xf numFmtId="165" fontId="0" fillId="6" borderId="0" xfId="0" applyNumberFormat="1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165" fontId="0" fillId="10" borderId="0" xfId="0" applyNumberFormat="1" applyFill="1" applyBorder="1" applyAlignment="1">
      <alignment vertical="center"/>
    </xf>
    <xf numFmtId="0" fontId="0" fillId="11" borderId="8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13" borderId="8" xfId="0" applyFill="1" applyBorder="1" applyAlignment="1">
      <alignment vertical="center"/>
    </xf>
    <xf numFmtId="0" fontId="0" fillId="11" borderId="0" xfId="0" applyFill="1"/>
    <xf numFmtId="0" fontId="0" fillId="12" borderId="14" xfId="0" applyFill="1" applyBorder="1" applyAlignment="1">
      <alignment vertical="center"/>
    </xf>
    <xf numFmtId="165" fontId="0" fillId="12" borderId="14" xfId="0" applyNumberFormat="1" applyFill="1" applyBorder="1" applyAlignment="1">
      <alignment vertical="center"/>
    </xf>
    <xf numFmtId="0" fontId="0" fillId="12" borderId="43" xfId="0" applyFill="1" applyBorder="1" applyAlignment="1">
      <alignment vertical="center"/>
    </xf>
    <xf numFmtId="0" fontId="0" fillId="9" borderId="0" xfId="0" applyFill="1" applyBorder="1"/>
    <xf numFmtId="0" fontId="0" fillId="9" borderId="64" xfId="0" applyFill="1" applyBorder="1"/>
    <xf numFmtId="0" fontId="0" fillId="8" borderId="0" xfId="0" applyFill="1" applyBorder="1"/>
    <xf numFmtId="0" fontId="0" fillId="8" borderId="64" xfId="0" applyFill="1" applyBorder="1"/>
    <xf numFmtId="0" fontId="0" fillId="10" borderId="22" xfId="0" applyFill="1" applyBorder="1"/>
    <xf numFmtId="0" fontId="0" fillId="10" borderId="45" xfId="0" applyFill="1" applyBorder="1"/>
    <xf numFmtId="0" fontId="0" fillId="12" borderId="14" xfId="0" applyFill="1" applyBorder="1"/>
    <xf numFmtId="0" fontId="0" fillId="12" borderId="43" xfId="0" applyFill="1" applyBorder="1"/>
    <xf numFmtId="164" fontId="0" fillId="3" borderId="46" xfId="0" applyNumberFormat="1" applyFill="1" applyBorder="1" applyAlignment="1">
      <alignment vertical="center"/>
    </xf>
    <xf numFmtId="164" fontId="0" fillId="6" borderId="21" xfId="0" applyNumberFormat="1" applyFill="1" applyBorder="1" applyAlignment="1">
      <alignment vertical="center"/>
    </xf>
    <xf numFmtId="0" fontId="1" fillId="0" borderId="66" xfId="0" applyFont="1" applyBorder="1"/>
    <xf numFmtId="0" fontId="1" fillId="0" borderId="44" xfId="0" applyFont="1" applyBorder="1"/>
    <xf numFmtId="0" fontId="0" fillId="7" borderId="0" xfId="0" applyFill="1"/>
    <xf numFmtId="0" fontId="0" fillId="7" borderId="37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0" xfId="0" applyFill="1" applyBorder="1" applyAlignment="1">
      <alignment vertical="center"/>
    </xf>
    <xf numFmtId="0" fontId="0" fillId="7" borderId="8" xfId="0" applyNumberFormat="1" applyFill="1" applyBorder="1" applyAlignment="1">
      <alignment vertical="center"/>
    </xf>
    <xf numFmtId="0" fontId="0" fillId="7" borderId="55" xfId="0" applyNumberFormat="1" applyFill="1" applyBorder="1" applyAlignment="1">
      <alignment vertical="center"/>
    </xf>
    <xf numFmtId="164" fontId="0" fillId="7" borderId="28" xfId="0" applyNumberFormat="1" applyFill="1" applyBorder="1" applyAlignment="1">
      <alignment vertical="center"/>
    </xf>
    <xf numFmtId="164" fontId="0" fillId="7" borderId="26" xfId="0" applyNumberFormat="1" applyFill="1" applyBorder="1" applyAlignment="1">
      <alignment vertical="center"/>
    </xf>
    <xf numFmtId="164" fontId="0" fillId="7" borderId="60" xfId="0" applyNumberFormat="1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0" fillId="7" borderId="55" xfId="0" applyFill="1" applyBorder="1" applyAlignment="1">
      <alignment vertical="center"/>
    </xf>
    <xf numFmtId="164" fontId="0" fillId="7" borderId="46" xfId="0" applyNumberFormat="1" applyFill="1" applyBorder="1" applyAlignment="1">
      <alignment vertical="center"/>
    </xf>
    <xf numFmtId="164" fontId="0" fillId="7" borderId="21" xfId="0" applyNumberFormat="1" applyFill="1" applyBorder="1" applyAlignment="1">
      <alignment vertical="center"/>
    </xf>
    <xf numFmtId="164" fontId="0" fillId="7" borderId="53" xfId="0" applyNumberFormat="1" applyFill="1" applyBorder="1" applyAlignment="1">
      <alignment vertical="center"/>
    </xf>
    <xf numFmtId="0" fontId="0" fillId="7" borderId="38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7" borderId="61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59" xfId="0" applyFill="1" applyBorder="1" applyAlignment="1">
      <alignment vertical="center"/>
    </xf>
    <xf numFmtId="0" fontId="0" fillId="6" borderId="8" xfId="0" applyNumberFormat="1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8" xfId="0" applyNumberFormat="1" applyFill="1" applyBorder="1" applyAlignment="1">
      <alignment vertical="center"/>
    </xf>
    <xf numFmtId="164" fontId="0" fillId="0" borderId="2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4" fontId="0" fillId="0" borderId="46" xfId="0" applyNumberFormat="1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14" xfId="0" applyFill="1" applyBorder="1" applyAlignment="1">
      <alignment vertical="center"/>
    </xf>
    <xf numFmtId="0" fontId="0" fillId="0" borderId="0" xfId="0" applyFill="1" applyBorder="1"/>
    <xf numFmtId="0" fontId="0" fillId="0" borderId="22" xfId="0" applyFill="1" applyBorder="1"/>
    <xf numFmtId="0" fontId="0" fillId="0" borderId="14" xfId="0" applyFill="1" applyBorder="1"/>
    <xf numFmtId="0" fontId="0" fillId="11" borderId="4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37" xfId="0" applyFill="1" applyBorder="1" applyAlignment="1">
      <alignment vertical="center"/>
    </xf>
    <xf numFmtId="0" fontId="0" fillId="11" borderId="8" xfId="0" applyNumberFormat="1" applyFill="1" applyBorder="1" applyAlignment="1">
      <alignment vertical="center"/>
    </xf>
    <xf numFmtId="164" fontId="0" fillId="11" borderId="28" xfId="0" applyNumberFormat="1" applyFill="1" applyBorder="1" applyAlignment="1">
      <alignment vertical="center"/>
    </xf>
    <xf numFmtId="164" fontId="0" fillId="11" borderId="46" xfId="0" applyNumberFormat="1" applyFill="1" applyBorder="1" applyAlignment="1">
      <alignment vertical="center"/>
    </xf>
    <xf numFmtId="0" fontId="0" fillId="11" borderId="38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1" fillId="11" borderId="0" xfId="0" applyFont="1" applyFill="1" applyBorder="1" applyAlignment="1">
      <alignment horizontal="center"/>
    </xf>
    <xf numFmtId="0" fontId="0" fillId="11" borderId="14" xfId="0" applyFill="1" applyBorder="1" applyAlignment="1">
      <alignment vertical="center"/>
    </xf>
    <xf numFmtId="165" fontId="0" fillId="11" borderId="14" xfId="0" applyNumberFormat="1" applyFill="1" applyBorder="1" applyAlignment="1">
      <alignment vertical="center"/>
    </xf>
    <xf numFmtId="0" fontId="0" fillId="11" borderId="0" xfId="0" applyFill="1" applyBorder="1"/>
    <xf numFmtId="0" fontId="0" fillId="11" borderId="22" xfId="0" applyFill="1" applyBorder="1"/>
    <xf numFmtId="0" fontId="0" fillId="11" borderId="14" xfId="0" applyFill="1" applyBorder="1"/>
    <xf numFmtId="0" fontId="0" fillId="3" borderId="8" xfId="0" applyNumberFormat="1" applyFill="1" applyBorder="1" applyAlignment="1">
      <alignment vertical="center"/>
    </xf>
    <xf numFmtId="0" fontId="0" fillId="13" borderId="0" xfId="0" applyFill="1"/>
    <xf numFmtId="0" fontId="0" fillId="13" borderId="0" xfId="0" applyFill="1" applyBorder="1"/>
    <xf numFmtId="0" fontId="0" fillId="13" borderId="4" xfId="0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3" borderId="37" xfId="0" applyFill="1" applyBorder="1" applyAlignment="1">
      <alignment vertical="center"/>
    </xf>
    <xf numFmtId="0" fontId="0" fillId="13" borderId="4" xfId="0" applyFill="1" applyBorder="1" applyAlignment="1">
      <alignment vertical="center"/>
    </xf>
    <xf numFmtId="0" fontId="0" fillId="13" borderId="8" xfId="0" applyNumberFormat="1" applyFill="1" applyBorder="1" applyAlignment="1">
      <alignment vertical="center"/>
    </xf>
    <xf numFmtId="164" fontId="0" fillId="13" borderId="28" xfId="0" applyNumberFormat="1" applyFill="1" applyBorder="1" applyAlignment="1">
      <alignment vertical="center"/>
    </xf>
    <xf numFmtId="164" fontId="0" fillId="13" borderId="26" xfId="0" applyNumberFormat="1" applyFill="1" applyBorder="1" applyAlignment="1">
      <alignment vertical="center"/>
    </xf>
    <xf numFmtId="164" fontId="0" fillId="13" borderId="46" xfId="0" applyNumberFormat="1" applyFill="1" applyBorder="1" applyAlignment="1">
      <alignment vertical="center"/>
    </xf>
    <xf numFmtId="164" fontId="0" fillId="13" borderId="21" xfId="0" applyNumberFormat="1" applyFill="1" applyBorder="1" applyAlignment="1">
      <alignment vertical="center"/>
    </xf>
    <xf numFmtId="0" fontId="0" fillId="13" borderId="38" xfId="0" applyFill="1" applyBorder="1" applyAlignment="1">
      <alignment vertical="center"/>
    </xf>
    <xf numFmtId="0" fontId="0" fillId="13" borderId="10" xfId="0" applyFill="1" applyBorder="1" applyAlignment="1">
      <alignment vertical="center"/>
    </xf>
    <xf numFmtId="0" fontId="0" fillId="13" borderId="13" xfId="0" applyFill="1" applyBorder="1" applyAlignment="1">
      <alignment vertical="center"/>
    </xf>
    <xf numFmtId="0" fontId="1" fillId="13" borderId="0" xfId="0" applyFont="1" applyFill="1" applyBorder="1" applyAlignment="1">
      <alignment horizontal="center"/>
    </xf>
    <xf numFmtId="0" fontId="0" fillId="13" borderId="14" xfId="0" applyFill="1" applyBorder="1" applyAlignment="1">
      <alignment vertical="center"/>
    </xf>
    <xf numFmtId="165" fontId="0" fillId="13" borderId="14" xfId="0" applyNumberFormat="1" applyFill="1" applyBorder="1" applyAlignment="1">
      <alignment vertical="center"/>
    </xf>
    <xf numFmtId="0" fontId="0" fillId="13" borderId="22" xfId="0" applyFill="1" applyBorder="1"/>
    <xf numFmtId="0" fontId="0" fillId="13" borderId="14" xfId="0" applyFill="1" applyBorder="1"/>
    <xf numFmtId="165" fontId="0" fillId="0" borderId="2" xfId="0" applyNumberFormat="1" applyFill="1" applyBorder="1" applyAlignment="1">
      <alignment vertical="center"/>
    </xf>
    <xf numFmtId="0" fontId="0" fillId="0" borderId="63" xfId="0" applyFill="1" applyBorder="1"/>
    <xf numFmtId="0" fontId="0" fillId="0" borderId="44" xfId="0" applyFill="1" applyBorder="1"/>
    <xf numFmtId="0" fontId="0" fillId="0" borderId="2" xfId="0" applyFill="1" applyBorder="1"/>
    <xf numFmtId="0" fontId="15" fillId="13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0" fillId="14" borderId="63" xfId="0" applyFill="1" applyBorder="1"/>
    <xf numFmtId="0" fontId="0" fillId="10" borderId="0" xfId="0" applyFill="1" applyBorder="1"/>
    <xf numFmtId="0" fontId="0" fillId="10" borderId="64" xfId="0" applyFill="1" applyBorder="1"/>
    <xf numFmtId="0" fontId="0" fillId="0" borderId="17" xfId="0" applyFill="1" applyBorder="1"/>
    <xf numFmtId="0" fontId="0" fillId="7" borderId="17" xfId="0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53" xfId="0" applyFont="1" applyFill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17" fillId="2" borderId="57" xfId="0" applyFont="1" applyFill="1" applyBorder="1" applyAlignment="1">
      <alignment horizontal="center"/>
    </xf>
    <xf numFmtId="1" fontId="17" fillId="2" borderId="54" xfId="0" applyNumberFormat="1" applyFont="1" applyFill="1" applyBorder="1" applyAlignment="1">
      <alignment horizontal="center" vertical="center"/>
    </xf>
    <xf numFmtId="1" fontId="17" fillId="2" borderId="8" xfId="0" applyNumberFormat="1" applyFont="1" applyFill="1" applyBorder="1" applyAlignment="1">
      <alignment horizontal="center" vertical="center"/>
    </xf>
    <xf numFmtId="1" fontId="17" fillId="2" borderId="55" xfId="0" applyNumberFormat="1" applyFont="1" applyFill="1" applyBorder="1" applyAlignment="1">
      <alignment horizontal="center" vertical="center"/>
    </xf>
    <xf numFmtId="1" fontId="17" fillId="2" borderId="58" xfId="0" applyNumberFormat="1" applyFont="1" applyFill="1" applyBorder="1" applyAlignment="1">
      <alignment horizontal="center" vertical="center"/>
    </xf>
    <xf numFmtId="1" fontId="17" fillId="2" borderId="13" xfId="0" applyNumberFormat="1" applyFont="1" applyFill="1" applyBorder="1" applyAlignment="1">
      <alignment horizontal="center" vertical="center"/>
    </xf>
    <xf numFmtId="1" fontId="17" fillId="2" borderId="59" xfId="0" applyNumberFormat="1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/>
    </xf>
    <xf numFmtId="0" fontId="0" fillId="13" borderId="33" xfId="0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7" borderId="21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7" borderId="8" xfId="0" applyFill="1" applyBorder="1" applyAlignment="1">
      <alignment horizontal="center"/>
    </xf>
    <xf numFmtId="0" fontId="0" fillId="7" borderId="55" xfId="0" applyFill="1" applyBorder="1" applyAlignment="1">
      <alignment horizontal="center"/>
    </xf>
    <xf numFmtId="0" fontId="0" fillId="7" borderId="24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5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2" borderId="46" xfId="0" applyFont="1" applyFill="1" applyBorder="1" applyAlignment="1">
      <alignment horizontal="center"/>
    </xf>
    <xf numFmtId="0" fontId="15" fillId="2" borderId="47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5" fillId="4" borderId="30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5" borderId="43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26E6FA"/>
      <color rgb="FFE2DAB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grandis.pro/index.php?id=118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grandis.pro/index.php?id=11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42</xdr:row>
      <xdr:rowOff>85725</xdr:rowOff>
    </xdr:from>
    <xdr:to>
      <xdr:col>10</xdr:col>
      <xdr:colOff>19050</xdr:colOff>
      <xdr:row>84</xdr:row>
      <xdr:rowOff>180975</xdr:rowOff>
    </xdr:to>
    <xdr:pic>
      <xdr:nvPicPr>
        <xdr:cNvPr id="2" name="Рисунок 2" descr="Эскиз с размерами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6848475"/>
          <a:ext cx="7372350" cy="809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161925</xdr:rowOff>
    </xdr:from>
    <xdr:to>
      <xdr:col>2</xdr:col>
      <xdr:colOff>1962150</xdr:colOff>
      <xdr:row>1</xdr:row>
      <xdr:rowOff>561975</xdr:rowOff>
    </xdr:to>
    <xdr:pic>
      <xdr:nvPicPr>
        <xdr:cNvPr id="3" name="Picture 1" descr="Лого Грандис НА ПЛЁНКУ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161925"/>
          <a:ext cx="2352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0</xdr:col>
      <xdr:colOff>2600325</xdr:colOff>
      <xdr:row>1</xdr:row>
      <xdr:rowOff>152400</xdr:rowOff>
    </xdr:to>
    <xdr:pic>
      <xdr:nvPicPr>
        <xdr:cNvPr id="2" name="Picture 1" descr="Лого Грандис НА ПЛЁНКУ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47650" y="104775"/>
          <a:ext cx="2352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0</xdr:col>
      <xdr:colOff>2600325</xdr:colOff>
      <xdr:row>1</xdr:row>
      <xdr:rowOff>152400</xdr:rowOff>
    </xdr:to>
    <xdr:pic>
      <xdr:nvPicPr>
        <xdr:cNvPr id="2" name="Picture 1" descr="Лого Грандис НА ПЛЁНКУ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47650" y="104775"/>
          <a:ext cx="2352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is.pro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randis.pr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randis.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Q42"/>
  <sheetViews>
    <sheetView tabSelected="1" workbookViewId="0">
      <pane ySplit="2" topLeftCell="A3" activePane="bottomLeft" state="frozen"/>
      <selection activeCell="A2" sqref="A2"/>
      <selection pane="bottomLeft" activeCell="N16" sqref="N16"/>
    </sheetView>
  </sheetViews>
  <sheetFormatPr defaultRowHeight="15"/>
  <cols>
    <col min="2" max="2" width="5.85546875" style="23" customWidth="1"/>
    <col min="3" max="3" width="30" customWidth="1"/>
    <col min="4" max="4" width="32.42578125" customWidth="1"/>
    <col min="5" max="5" width="13.140625" style="24" customWidth="1"/>
    <col min="6" max="6" width="5.7109375" customWidth="1"/>
    <col min="7" max="9" width="5.7109375" style="90" customWidth="1"/>
    <col min="10" max="11" width="5.7109375" customWidth="1"/>
    <col min="12" max="13" width="7.5703125" customWidth="1"/>
    <col min="14" max="14" width="10" customWidth="1"/>
    <col min="15" max="15" width="5.7109375" customWidth="1"/>
    <col min="16" max="16" width="7.5703125" customWidth="1"/>
    <col min="17" max="17" width="5.7109375" style="90" customWidth="1"/>
  </cols>
  <sheetData>
    <row r="1" spans="1:17" ht="31.5">
      <c r="D1" s="67"/>
      <c r="F1" s="224" t="s">
        <v>95</v>
      </c>
      <c r="G1" s="225"/>
      <c r="H1" s="225"/>
      <c r="I1" s="225"/>
      <c r="J1" s="226"/>
      <c r="K1" s="222" t="s">
        <v>96</v>
      </c>
      <c r="L1" s="223"/>
      <c r="M1" s="81"/>
      <c r="N1" s="81"/>
      <c r="O1" s="208" t="s">
        <v>90</v>
      </c>
      <c r="P1" s="208"/>
      <c r="Q1" s="208"/>
    </row>
    <row r="2" spans="1:17" s="1" customFormat="1" ht="46.5" customHeight="1" thickBot="1">
      <c r="B2" s="85"/>
      <c r="C2" s="86"/>
      <c r="D2" s="87" t="s">
        <v>0</v>
      </c>
      <c r="E2" s="88" t="s">
        <v>1</v>
      </c>
      <c r="F2" s="201" t="s">
        <v>2</v>
      </c>
      <c r="G2" s="202" t="s">
        <v>51</v>
      </c>
      <c r="H2" s="203" t="s">
        <v>3</v>
      </c>
      <c r="I2" s="203" t="s">
        <v>88</v>
      </c>
      <c r="J2" s="201" t="s">
        <v>52</v>
      </c>
      <c r="K2" s="200" t="s">
        <v>93</v>
      </c>
      <c r="L2" s="200" t="s">
        <v>94</v>
      </c>
      <c r="M2" s="89" t="s">
        <v>89</v>
      </c>
      <c r="N2" s="89" t="s">
        <v>99</v>
      </c>
      <c r="O2" s="94" t="s">
        <v>91</v>
      </c>
      <c r="P2" s="94" t="s">
        <v>92</v>
      </c>
      <c r="Q2" s="95" t="s">
        <v>51</v>
      </c>
    </row>
    <row r="3" spans="1:17">
      <c r="B3" s="238" t="s">
        <v>4</v>
      </c>
      <c r="C3" s="241" t="s">
        <v>5</v>
      </c>
      <c r="D3" s="38" t="s">
        <v>6</v>
      </c>
      <c r="E3" s="68" t="s">
        <v>7</v>
      </c>
      <c r="F3" s="209">
        <v>2200</v>
      </c>
      <c r="G3" s="210"/>
      <c r="H3" s="210"/>
      <c r="I3" s="210"/>
      <c r="J3" s="210"/>
      <c r="K3" s="210"/>
      <c r="L3" s="210"/>
      <c r="M3" s="211"/>
      <c r="N3" s="210"/>
      <c r="O3" s="210"/>
      <c r="P3" s="210"/>
      <c r="Q3" s="212"/>
    </row>
    <row r="4" spans="1:17" ht="15.75" thickBot="1">
      <c r="B4" s="239"/>
      <c r="C4" s="242"/>
      <c r="D4" s="39" t="s">
        <v>8</v>
      </c>
      <c r="E4" s="69" t="s">
        <v>9</v>
      </c>
      <c r="F4" s="213">
        <v>2600</v>
      </c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5"/>
    </row>
    <row r="5" spans="1:17" ht="16.5" thickTop="1" thickBot="1">
      <c r="B5" s="239"/>
      <c r="C5" s="262" t="s">
        <v>10</v>
      </c>
      <c r="D5" s="263"/>
      <c r="E5" s="70" t="s">
        <v>11</v>
      </c>
      <c r="F5" s="216">
        <v>3</v>
      </c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8"/>
    </row>
    <row r="6" spans="1:17" ht="16.5" thickTop="1" thickBot="1">
      <c r="B6" s="240"/>
      <c r="C6" s="264" t="s">
        <v>12</v>
      </c>
      <c r="D6" s="265"/>
      <c r="E6" s="71" t="s">
        <v>13</v>
      </c>
      <c r="F6" s="219">
        <v>2</v>
      </c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1"/>
    </row>
    <row r="7" spans="1:17" ht="15.75" thickBot="1">
      <c r="B7" s="10"/>
      <c r="C7" s="9"/>
      <c r="D7" s="9"/>
      <c r="E7" s="11"/>
      <c r="G7" s="40"/>
      <c r="H7" s="111"/>
      <c r="I7" s="111"/>
      <c r="K7" s="176"/>
      <c r="L7" s="176"/>
      <c r="M7" s="84"/>
    </row>
    <row r="8" spans="1:17">
      <c r="B8" s="238" t="s">
        <v>14</v>
      </c>
      <c r="C8" s="269" t="s">
        <v>15</v>
      </c>
      <c r="D8" s="12" t="s">
        <v>8</v>
      </c>
      <c r="E8" s="4" t="s">
        <v>16</v>
      </c>
      <c r="F8" s="25">
        <v>26</v>
      </c>
      <c r="G8" s="41">
        <v>42</v>
      </c>
      <c r="H8" s="160">
        <v>25</v>
      </c>
      <c r="I8" s="160">
        <v>25</v>
      </c>
      <c r="J8" s="25">
        <v>33</v>
      </c>
      <c r="K8" s="178">
        <v>26</v>
      </c>
      <c r="L8" s="178">
        <v>22</v>
      </c>
      <c r="M8" s="98">
        <v>11</v>
      </c>
      <c r="N8" s="98">
        <v>11</v>
      </c>
      <c r="O8" s="91">
        <v>25.6</v>
      </c>
      <c r="P8" s="91">
        <v>25</v>
      </c>
      <c r="Q8" s="100">
        <v>42</v>
      </c>
    </row>
    <row r="9" spans="1:17">
      <c r="A9" s="9"/>
      <c r="B9" s="239"/>
      <c r="C9" s="266"/>
      <c r="D9" s="13" t="s">
        <v>63</v>
      </c>
      <c r="E9" s="14" t="s">
        <v>17</v>
      </c>
      <c r="F9" s="83">
        <v>0.5</v>
      </c>
      <c r="G9" s="42">
        <f>F9</f>
        <v>0.5</v>
      </c>
      <c r="H9" s="161">
        <v>1</v>
      </c>
      <c r="I9" s="161">
        <v>1.5</v>
      </c>
      <c r="J9" s="83">
        <v>0.5</v>
      </c>
      <c r="K9" s="179">
        <v>0.5</v>
      </c>
      <c r="L9" s="179">
        <v>1</v>
      </c>
      <c r="M9" s="73">
        <v>0</v>
      </c>
      <c r="N9" s="73">
        <v>0</v>
      </c>
      <c r="O9" s="92">
        <v>0.6</v>
      </c>
      <c r="P9" s="92">
        <v>1</v>
      </c>
      <c r="Q9" s="101">
        <v>0.5</v>
      </c>
    </row>
    <row r="10" spans="1:17" ht="15.75" thickBot="1">
      <c r="B10" s="239"/>
      <c r="C10" s="267"/>
      <c r="D10" s="15" t="s">
        <v>18</v>
      </c>
      <c r="E10" s="6" t="s">
        <v>19</v>
      </c>
      <c r="F10" s="26">
        <v>8.5</v>
      </c>
      <c r="G10" s="43">
        <f>F10</f>
        <v>8.5</v>
      </c>
      <c r="H10" s="162">
        <v>8.5</v>
      </c>
      <c r="I10" s="162">
        <v>9.5</v>
      </c>
      <c r="J10" s="26">
        <v>8.5</v>
      </c>
      <c r="K10" s="180">
        <v>8.5</v>
      </c>
      <c r="L10" s="180">
        <v>9.5</v>
      </c>
      <c r="M10" s="75">
        <v>9</v>
      </c>
      <c r="N10" s="75">
        <v>9</v>
      </c>
      <c r="O10" s="93">
        <v>8</v>
      </c>
      <c r="P10" s="93">
        <v>8.5</v>
      </c>
      <c r="Q10" s="102">
        <v>7.5</v>
      </c>
    </row>
    <row r="11" spans="1:17" ht="15.75" thickTop="1">
      <c r="B11" s="239"/>
      <c r="C11" s="266" t="s">
        <v>20</v>
      </c>
      <c r="D11" s="16" t="s">
        <v>8</v>
      </c>
      <c r="E11" s="17" t="s">
        <v>21</v>
      </c>
      <c r="F11" s="255">
        <v>21</v>
      </c>
      <c r="G11" s="256"/>
      <c r="H11" s="256"/>
      <c r="I11" s="256"/>
      <c r="J11" s="257"/>
      <c r="K11" s="244">
        <v>19</v>
      </c>
      <c r="L11" s="245"/>
      <c r="M11" s="74">
        <v>16</v>
      </c>
      <c r="N11" s="74">
        <v>16</v>
      </c>
      <c r="O11" s="227">
        <v>21</v>
      </c>
      <c r="P11" s="227"/>
      <c r="Q11" s="228"/>
    </row>
    <row r="12" spans="1:17">
      <c r="B12" s="239"/>
      <c r="C12" s="266"/>
      <c r="D12" s="13" t="s">
        <v>18</v>
      </c>
      <c r="E12" s="14" t="s">
        <v>22</v>
      </c>
      <c r="F12" s="246">
        <v>10</v>
      </c>
      <c r="G12" s="250"/>
      <c r="H12" s="250"/>
      <c r="I12" s="250"/>
      <c r="J12" s="247"/>
      <c r="K12" s="246">
        <v>9</v>
      </c>
      <c r="L12" s="247"/>
      <c r="M12" s="76">
        <v>15</v>
      </c>
      <c r="N12" s="76">
        <v>15</v>
      </c>
      <c r="O12" s="229">
        <v>10</v>
      </c>
      <c r="P12" s="229"/>
      <c r="Q12" s="230"/>
    </row>
    <row r="13" spans="1:17" ht="15.75" thickBot="1">
      <c r="B13" s="239"/>
      <c r="C13" s="267"/>
      <c r="D13" s="15" t="s">
        <v>23</v>
      </c>
      <c r="E13" s="6" t="s">
        <v>24</v>
      </c>
      <c r="F13" s="251">
        <v>6.5</v>
      </c>
      <c r="G13" s="252"/>
      <c r="H13" s="252"/>
      <c r="I13" s="252"/>
      <c r="J13" s="252"/>
      <c r="K13" s="252"/>
      <c r="L13" s="253"/>
      <c r="M13" s="75">
        <v>12</v>
      </c>
      <c r="N13" s="75">
        <v>11</v>
      </c>
      <c r="O13" s="231">
        <v>8</v>
      </c>
      <c r="P13" s="231"/>
      <c r="Q13" s="232"/>
    </row>
    <row r="14" spans="1:17" ht="15.75" thickTop="1">
      <c r="B14" s="239"/>
      <c r="C14" s="266" t="s">
        <v>25</v>
      </c>
      <c r="D14" s="16" t="s">
        <v>8</v>
      </c>
      <c r="E14" s="17" t="s">
        <v>26</v>
      </c>
      <c r="F14" s="248">
        <v>57</v>
      </c>
      <c r="G14" s="254"/>
      <c r="H14" s="254"/>
      <c r="I14" s="254"/>
      <c r="J14" s="249"/>
      <c r="K14" s="248">
        <v>54</v>
      </c>
      <c r="L14" s="249"/>
      <c r="M14" s="74">
        <v>46</v>
      </c>
      <c r="N14" s="74">
        <v>51.5</v>
      </c>
      <c r="O14" s="227">
        <v>53</v>
      </c>
      <c r="P14" s="227"/>
      <c r="Q14" s="228"/>
    </row>
    <row r="15" spans="1:17">
      <c r="B15" s="239"/>
      <c r="C15" s="266"/>
      <c r="D15" s="13" t="s">
        <v>18</v>
      </c>
      <c r="E15" s="14" t="s">
        <v>27</v>
      </c>
      <c r="F15" s="246">
        <v>10</v>
      </c>
      <c r="G15" s="250"/>
      <c r="H15" s="250"/>
      <c r="I15" s="250"/>
      <c r="J15" s="247"/>
      <c r="K15" s="246">
        <v>9</v>
      </c>
      <c r="L15" s="247"/>
      <c r="M15" s="76">
        <v>45</v>
      </c>
      <c r="N15" s="76">
        <v>50.5</v>
      </c>
      <c r="O15" s="229">
        <v>8.5</v>
      </c>
      <c r="P15" s="229"/>
      <c r="Q15" s="230"/>
    </row>
    <row r="16" spans="1:17" ht="15.75" thickBot="1">
      <c r="B16" s="239"/>
      <c r="C16" s="267"/>
      <c r="D16" s="15" t="s">
        <v>23</v>
      </c>
      <c r="E16" s="6" t="s">
        <v>28</v>
      </c>
      <c r="F16" s="251">
        <v>42</v>
      </c>
      <c r="G16" s="252"/>
      <c r="H16" s="252"/>
      <c r="I16" s="252"/>
      <c r="J16" s="252"/>
      <c r="K16" s="252"/>
      <c r="L16" s="253"/>
      <c r="M16" s="75">
        <v>42</v>
      </c>
      <c r="N16" s="75">
        <v>46</v>
      </c>
      <c r="O16" s="96"/>
      <c r="P16" s="97">
        <v>41</v>
      </c>
      <c r="Q16" s="99"/>
    </row>
    <row r="17" spans="1:17" ht="15.75" thickTop="1">
      <c r="B17" s="239"/>
      <c r="C17" s="266" t="s">
        <v>29</v>
      </c>
      <c r="D17" s="16" t="s">
        <v>8</v>
      </c>
      <c r="E17" s="17" t="s">
        <v>30</v>
      </c>
      <c r="F17" s="244">
        <v>25</v>
      </c>
      <c r="G17" s="261"/>
      <c r="H17" s="261"/>
      <c r="I17" s="261"/>
      <c r="J17" s="245"/>
      <c r="K17" s="244">
        <v>19</v>
      </c>
      <c r="L17" s="245"/>
      <c r="M17" s="74">
        <v>10</v>
      </c>
      <c r="N17" s="74">
        <v>10</v>
      </c>
      <c r="O17" s="227">
        <v>25</v>
      </c>
      <c r="P17" s="227"/>
      <c r="Q17" s="228"/>
    </row>
    <row r="18" spans="1:17">
      <c r="B18" s="239"/>
      <c r="C18" s="266"/>
      <c r="D18" s="13" t="s">
        <v>31</v>
      </c>
      <c r="E18" s="14" t="s">
        <v>32</v>
      </c>
      <c r="F18" s="246">
        <v>8</v>
      </c>
      <c r="G18" s="250"/>
      <c r="H18" s="250"/>
      <c r="I18" s="250"/>
      <c r="J18" s="247"/>
      <c r="K18" s="246">
        <v>9</v>
      </c>
      <c r="L18" s="247"/>
      <c r="M18" s="73">
        <v>4.5</v>
      </c>
      <c r="N18" s="73">
        <v>4.5</v>
      </c>
      <c r="O18" s="229">
        <v>8</v>
      </c>
      <c r="P18" s="229"/>
      <c r="Q18" s="230"/>
    </row>
    <row r="19" spans="1:17" ht="15.75" thickBot="1">
      <c r="B19" s="240"/>
      <c r="C19" s="268"/>
      <c r="D19" s="18" t="s">
        <v>33</v>
      </c>
      <c r="E19" s="19" t="s">
        <v>34</v>
      </c>
      <c r="F19" s="258">
        <v>9</v>
      </c>
      <c r="G19" s="259"/>
      <c r="H19" s="259"/>
      <c r="I19" s="259"/>
      <c r="J19" s="260"/>
      <c r="K19" s="258">
        <v>1</v>
      </c>
      <c r="L19" s="260"/>
      <c r="M19" s="82">
        <v>1</v>
      </c>
      <c r="N19" s="82">
        <v>1</v>
      </c>
      <c r="O19" s="233">
        <v>9</v>
      </c>
      <c r="P19" s="233"/>
      <c r="Q19" s="234"/>
    </row>
    <row r="20" spans="1:17" ht="15.75" thickBot="1">
      <c r="A20" s="9"/>
      <c r="B20" s="10"/>
      <c r="C20" s="20"/>
      <c r="D20" s="9"/>
      <c r="E20" s="11"/>
      <c r="G20" s="40"/>
      <c r="H20" s="111"/>
      <c r="I20" s="111"/>
      <c r="M20" s="77"/>
      <c r="N20" s="77"/>
      <c r="O20" s="127"/>
      <c r="P20" s="127"/>
      <c r="Q20" s="127"/>
    </row>
    <row r="21" spans="1:17" ht="15" customHeight="1">
      <c r="B21" s="238" t="s">
        <v>35</v>
      </c>
      <c r="C21" s="241" t="s">
        <v>36</v>
      </c>
      <c r="D21" s="3" t="s">
        <v>64</v>
      </c>
      <c r="E21" s="4" t="s">
        <v>37</v>
      </c>
      <c r="F21" s="148">
        <f>$F3-40</f>
        <v>2160</v>
      </c>
      <c r="G21" s="44">
        <f t="shared" ref="G21:J21" si="0">$F3-40</f>
        <v>2160</v>
      </c>
      <c r="H21" s="163">
        <f t="shared" ref="H21" si="1">$F3-40</f>
        <v>2160</v>
      </c>
      <c r="I21" s="163">
        <f t="shared" si="0"/>
        <v>2160</v>
      </c>
      <c r="J21" s="148">
        <f t="shared" si="0"/>
        <v>2160</v>
      </c>
      <c r="K21" s="181">
        <f>$F3-40</f>
        <v>2160</v>
      </c>
      <c r="L21" s="182">
        <f t="shared" ref="L21" si="2">$F3-40</f>
        <v>2160</v>
      </c>
      <c r="M21" s="78">
        <f>$F3-40</f>
        <v>2160</v>
      </c>
      <c r="N21" s="78">
        <f>$F3-40</f>
        <v>2160</v>
      </c>
      <c r="O21" s="128">
        <f>$F3-40</f>
        <v>2160</v>
      </c>
      <c r="P21" s="129">
        <f>$F3-40</f>
        <v>2160</v>
      </c>
      <c r="Q21" s="130">
        <f>$F3-40</f>
        <v>2160</v>
      </c>
    </row>
    <row r="22" spans="1:17" ht="15.75" customHeight="1" thickBot="1">
      <c r="B22" s="239"/>
      <c r="C22" s="242"/>
      <c r="D22" s="5" t="s">
        <v>65</v>
      </c>
      <c r="E22" s="6" t="s">
        <v>38</v>
      </c>
      <c r="F22" s="149">
        <f t="shared" ref="F22:Q22" si="3">ROUNDUP((($F4+$F6*F8)/$F5),0.1)</f>
        <v>884</v>
      </c>
      <c r="G22" s="175">
        <f t="shared" si="3"/>
        <v>895</v>
      </c>
      <c r="H22" s="164">
        <f t="shared" si="3"/>
        <v>884</v>
      </c>
      <c r="I22" s="164">
        <f t="shared" si="3"/>
        <v>884</v>
      </c>
      <c r="J22" s="149">
        <f t="shared" si="3"/>
        <v>889</v>
      </c>
      <c r="K22" s="183">
        <f t="shared" si="3"/>
        <v>884</v>
      </c>
      <c r="L22" s="183">
        <f t="shared" si="3"/>
        <v>882</v>
      </c>
      <c r="M22" s="146">
        <f t="shared" si="3"/>
        <v>874</v>
      </c>
      <c r="N22" s="146">
        <f t="shared" ref="N22" si="4">ROUNDUP((($F4+$F6*N8)/$F5),0.1)</f>
        <v>874</v>
      </c>
      <c r="O22" s="131">
        <f t="shared" si="3"/>
        <v>884</v>
      </c>
      <c r="P22" s="131">
        <f t="shared" si="3"/>
        <v>884</v>
      </c>
      <c r="Q22" s="132">
        <f t="shared" si="3"/>
        <v>895</v>
      </c>
    </row>
    <row r="23" spans="1:17" ht="15.75" thickTop="1">
      <c r="B23" s="239"/>
      <c r="C23" s="243" t="s">
        <v>39</v>
      </c>
      <c r="D23" s="21" t="s">
        <v>66</v>
      </c>
      <c r="E23" s="22" t="s">
        <v>40</v>
      </c>
      <c r="F23" s="150">
        <f>F21-$F11+$F12-$F14+$F15</f>
        <v>2102</v>
      </c>
      <c r="G23" s="46">
        <f>G21-$F11+$F12-$F14+$F15-2</f>
        <v>2100</v>
      </c>
      <c r="H23" s="165">
        <f>H21-$F11+$F12-$F14+$F15-2</f>
        <v>2100</v>
      </c>
      <c r="I23" s="165">
        <f t="shared" ref="I23:J23" si="5">I21-$F11+$F12-$F14+$F15-2</f>
        <v>2100</v>
      </c>
      <c r="J23" s="150">
        <f t="shared" si="5"/>
        <v>2100</v>
      </c>
      <c r="K23" s="184">
        <f>K21-$K11+$K12-$K14+$K15</f>
        <v>2105</v>
      </c>
      <c r="L23" s="185">
        <f>L21-$K11+$K12-$K14+$K15-2</f>
        <v>2103</v>
      </c>
      <c r="M23" s="79">
        <f>M21-$M11+$M12-$M14+$M15-1</f>
        <v>2157</v>
      </c>
      <c r="N23" s="79">
        <f>N21-$M11+$M12-$M14+$M15-1</f>
        <v>2157</v>
      </c>
      <c r="O23" s="133">
        <f>O21-$O11+$O12-$O14+$O15-2</f>
        <v>2102.5</v>
      </c>
      <c r="P23" s="134">
        <f>P21-$O11+$O12-$O14+$O15-2</f>
        <v>2102.5</v>
      </c>
      <c r="Q23" s="135">
        <f>Q21-$O11+$O12-$O14+$O15-2</f>
        <v>2102.5</v>
      </c>
    </row>
    <row r="24" spans="1:17" ht="15.75" thickBot="1">
      <c r="B24" s="239"/>
      <c r="C24" s="242"/>
      <c r="D24" s="5" t="s">
        <v>67</v>
      </c>
      <c r="E24" s="6" t="s">
        <v>41</v>
      </c>
      <c r="F24" s="151">
        <f>ROUNDDOWN((F22-2*(F8-F10)-2),0.1)</f>
        <v>847</v>
      </c>
      <c r="G24" s="45">
        <f>ROUNDDOWN((G22-2*(F8-G10)-2),0.1)</f>
        <v>858</v>
      </c>
      <c r="H24" s="108">
        <f>ROUNDDOWN((H22-2*(H8-H10)-2),0.1)</f>
        <v>849</v>
      </c>
      <c r="I24" s="108">
        <f>ROUNDDOWN((I22-2*(I8-I10)-2),0.1)</f>
        <v>851</v>
      </c>
      <c r="J24" s="151">
        <f>ROUNDDOWN((J22-2*(J8-J10)-2),0.1)</f>
        <v>838</v>
      </c>
      <c r="K24" s="110">
        <f>ROUNDDOWN((K22-2*(K8-K10)-2),0.1)</f>
        <v>847</v>
      </c>
      <c r="L24" s="110">
        <f>ROUNDDOWN((L22-2*(L8-L10)-2),0.1)</f>
        <v>855</v>
      </c>
      <c r="M24" s="109">
        <f>ROUNDDOWN((M22-2*(M8-M10)),0.1)</f>
        <v>870</v>
      </c>
      <c r="N24" s="109">
        <f>ROUNDDOWN((N22-2*(N8-N10)),0.1)</f>
        <v>870</v>
      </c>
      <c r="O24" s="136">
        <f>ROUNDDOWN((O22-2*(O8-O10)-2),0.1)</f>
        <v>846</v>
      </c>
      <c r="P24" s="136">
        <f>ROUNDDOWN((P22-2*(P8-P10)-2),0.1)</f>
        <v>849</v>
      </c>
      <c r="Q24" s="137">
        <f>ROUNDDOWN((Q22-2*(F8-Q10)-2),0.1)</f>
        <v>856</v>
      </c>
    </row>
    <row r="25" spans="1:17" ht="15.75" thickTop="1">
      <c r="B25" s="239"/>
      <c r="C25" s="243" t="s">
        <v>42</v>
      </c>
      <c r="D25" s="21" t="s">
        <v>68</v>
      </c>
      <c r="E25" s="22" t="s">
        <v>43</v>
      </c>
      <c r="F25" s="152">
        <f>F21-$F11+$F12-$F14+$F15-2</f>
        <v>2100</v>
      </c>
      <c r="G25" s="123">
        <f>G21-$F11+$F12-$F14+$F15-4</f>
        <v>2098</v>
      </c>
      <c r="H25" s="166">
        <f>H21-$F11+$F12-$F14+$F15-4</f>
        <v>2098</v>
      </c>
      <c r="I25" s="166">
        <f t="shared" ref="I25:J25" si="6">I21-$F11+$F12-$F14+$F15-4</f>
        <v>2098</v>
      </c>
      <c r="J25" s="152">
        <f t="shared" si="6"/>
        <v>2098</v>
      </c>
      <c r="K25" s="186">
        <f>K21-$K11+$K12-$K14+$K15-2</f>
        <v>2103</v>
      </c>
      <c r="L25" s="187">
        <f>L21-$K11+$K12-$K14+$K15-4</f>
        <v>2101</v>
      </c>
      <c r="M25" s="124">
        <f>M21-$M11+$M12-$M14+$M15-3</f>
        <v>2155</v>
      </c>
      <c r="N25" s="124">
        <f>N21-$M11+$M12-$M14+$M15-3</f>
        <v>2155</v>
      </c>
      <c r="O25" s="138">
        <f>O21-$O11+$O12-$O14+$O15-4</f>
        <v>2100.5</v>
      </c>
      <c r="P25" s="139">
        <f>P21-$K11+$K12-$K14+$K15-4</f>
        <v>2101</v>
      </c>
      <c r="Q25" s="140">
        <f>Q21-$O11+$O12-$O14+$O15-4</f>
        <v>2100.5</v>
      </c>
    </row>
    <row r="26" spans="1:17" ht="15.75" thickBot="1">
      <c r="B26" s="239"/>
      <c r="C26" s="242"/>
      <c r="D26" s="5" t="s">
        <v>69</v>
      </c>
      <c r="E26" s="6" t="s">
        <v>44</v>
      </c>
      <c r="F26" s="151">
        <f>ROUNDDOWN((F22-2*(F8-F10)-4),0.1)</f>
        <v>845</v>
      </c>
      <c r="G26" s="45">
        <f>ROUNDDOWN((G22-2*(F8-G10)-4),0.1)</f>
        <v>856</v>
      </c>
      <c r="H26" s="108">
        <f>ROUNDDOWN((H22-2*(H8-H10)-4),0.1)</f>
        <v>847</v>
      </c>
      <c r="I26" s="108">
        <f>ROUNDDOWN((I22-2*(I8-I10)-4),0.1)</f>
        <v>849</v>
      </c>
      <c r="J26" s="151">
        <f>ROUNDDOWN((J22-2*(J8-J10)-4),0.1)</f>
        <v>836</v>
      </c>
      <c r="K26" s="110">
        <f>ROUNDDOWN((K22-2*(K8-K10)-4),0.1)</f>
        <v>845</v>
      </c>
      <c r="L26" s="183">
        <f>ROUNDDOWN((L22-2*(L8-L10)-4),0.1)</f>
        <v>853</v>
      </c>
      <c r="M26" s="146">
        <f>ROUNDDOWN((M22-2*(M8-M10)-2),0.1)</f>
        <v>868</v>
      </c>
      <c r="N26" s="146">
        <f>ROUNDDOWN((N22-2*(N8-N10)-2),0.1)</f>
        <v>868</v>
      </c>
      <c r="O26" s="136">
        <f>ROUNDDOWN((O22-2*(O8-O10)-4),0.1)</f>
        <v>844</v>
      </c>
      <c r="P26" s="136">
        <f>ROUNDDOWN((P22-2*(P8-P10)-4),0.1)</f>
        <v>847</v>
      </c>
      <c r="Q26" s="137">
        <f>ROUNDDOWN((Q22-2*(F8-Q10)-4),0.1)</f>
        <v>854</v>
      </c>
    </row>
    <row r="27" spans="1:17" ht="16.5" thickTop="1" thickBot="1">
      <c r="B27" s="239"/>
      <c r="C27" s="125" t="s">
        <v>45</v>
      </c>
      <c r="D27" s="36" t="s">
        <v>46</v>
      </c>
      <c r="E27" s="7" t="s">
        <v>47</v>
      </c>
      <c r="F27" s="153">
        <f>F21</f>
        <v>2160</v>
      </c>
      <c r="G27" s="47">
        <f t="shared" ref="G27:K27" si="7">G21</f>
        <v>2160</v>
      </c>
      <c r="H27" s="167">
        <f t="shared" ref="H27" si="8">H21</f>
        <v>2160</v>
      </c>
      <c r="I27" s="167">
        <f t="shared" si="7"/>
        <v>2160</v>
      </c>
      <c r="J27" s="153">
        <f t="shared" si="7"/>
        <v>2160</v>
      </c>
      <c r="K27" s="188">
        <f t="shared" si="7"/>
        <v>2160</v>
      </c>
      <c r="L27" s="189">
        <f>L21</f>
        <v>2160</v>
      </c>
      <c r="M27" s="80">
        <f>M21</f>
        <v>2160</v>
      </c>
      <c r="N27" s="80">
        <f>N21</f>
        <v>2160</v>
      </c>
      <c r="O27" s="141">
        <f>O21</f>
        <v>2160</v>
      </c>
      <c r="P27" s="142">
        <f>P21</f>
        <v>2160</v>
      </c>
      <c r="Q27" s="143">
        <f>Q21</f>
        <v>2160</v>
      </c>
    </row>
    <row r="28" spans="1:17" ht="16.5" thickTop="1" thickBot="1">
      <c r="B28" s="240"/>
      <c r="C28" s="126" t="s">
        <v>48</v>
      </c>
      <c r="D28" s="37" t="s">
        <v>49</v>
      </c>
      <c r="E28" s="8" t="s">
        <v>50</v>
      </c>
      <c r="F28" s="154">
        <f>ROUNDUP(F22-2*(F8-F9),0.1)-2</f>
        <v>831</v>
      </c>
      <c r="G28" s="48">
        <f>ROUNDUP(G22-2*(F8-G9),0.1)</f>
        <v>844</v>
      </c>
      <c r="H28" s="168">
        <f t="shared" ref="H28:P28" si="9">ROUNDUP(H22-2*(H8-H9),0.1)</f>
        <v>836</v>
      </c>
      <c r="I28" s="168">
        <f t="shared" si="9"/>
        <v>837</v>
      </c>
      <c r="J28" s="154">
        <f t="shared" si="9"/>
        <v>824</v>
      </c>
      <c r="K28" s="190">
        <f>ROUNDUP(K22-2*(K8-K9),0.1)-2</f>
        <v>831</v>
      </c>
      <c r="L28" s="190">
        <f t="shared" si="9"/>
        <v>840</v>
      </c>
      <c r="M28" s="147">
        <f t="shared" si="9"/>
        <v>852</v>
      </c>
      <c r="N28" s="147">
        <f t="shared" ref="N28" si="10">ROUNDUP(N22-2*(N8-N9),0.1)</f>
        <v>852</v>
      </c>
      <c r="O28" s="144">
        <f t="shared" si="9"/>
        <v>834</v>
      </c>
      <c r="P28" s="144">
        <f t="shared" si="9"/>
        <v>836</v>
      </c>
      <c r="Q28" s="145">
        <f>ROUNDUP(Q22-2*(F8-Q9),0.1)</f>
        <v>844</v>
      </c>
    </row>
    <row r="29" spans="1:17">
      <c r="B29" s="10"/>
      <c r="C29" s="103"/>
      <c r="D29" s="104"/>
      <c r="E29" s="11"/>
      <c r="F29" s="155"/>
      <c r="G29" s="155"/>
      <c r="H29" s="169"/>
      <c r="I29" s="169"/>
      <c r="J29" s="11"/>
      <c r="K29" s="191"/>
      <c r="L29" s="191"/>
      <c r="M29" s="105"/>
      <c r="O29" s="106"/>
      <c r="P29" s="107"/>
      <c r="Q29" s="106"/>
    </row>
    <row r="30" spans="1:17" hidden="1">
      <c r="B30" s="10"/>
      <c r="C30" s="103"/>
      <c r="D30" s="104"/>
      <c r="E30" s="11"/>
      <c r="F30" s="196">
        <f t="shared" ref="F30:Q30" si="11">($F4+$F6*F8)/$F5</f>
        <v>884</v>
      </c>
      <c r="G30" s="156">
        <f t="shared" si="11"/>
        <v>894.66666666666663</v>
      </c>
      <c r="H30" s="170">
        <f t="shared" si="11"/>
        <v>883.33333333333337</v>
      </c>
      <c r="I30" s="171">
        <f t="shared" si="11"/>
        <v>883.33333333333337</v>
      </c>
      <c r="J30" s="112">
        <f t="shared" si="11"/>
        <v>888.66666666666663</v>
      </c>
      <c r="K30" s="192">
        <f t="shared" si="11"/>
        <v>884</v>
      </c>
      <c r="L30" s="193">
        <f t="shared" si="11"/>
        <v>881.33333333333337</v>
      </c>
      <c r="M30" s="112">
        <f t="shared" si="11"/>
        <v>874</v>
      </c>
      <c r="O30" s="112">
        <f t="shared" si="11"/>
        <v>883.73333333333323</v>
      </c>
      <c r="P30" s="113">
        <f t="shared" si="11"/>
        <v>883.33333333333337</v>
      </c>
      <c r="Q30" s="114">
        <f t="shared" si="11"/>
        <v>894.66666666666663</v>
      </c>
    </row>
    <row r="31" spans="1:17" hidden="1">
      <c r="B31" s="10"/>
      <c r="C31" s="103"/>
      <c r="D31" s="104"/>
      <c r="E31" s="11"/>
      <c r="F31" s="197">
        <f>F22-2*(F8-F10)-2</f>
        <v>847</v>
      </c>
      <c r="G31" s="157">
        <f>G22-2*(F8-G10)-2</f>
        <v>858</v>
      </c>
      <c r="H31" s="172">
        <f>H22-2*(H8-H10)-2</f>
        <v>849</v>
      </c>
      <c r="I31" s="172">
        <f>I22-2*(I8-I10)-2</f>
        <v>851</v>
      </c>
      <c r="J31" s="115">
        <f>J22-2*(J8-J10)-2</f>
        <v>838</v>
      </c>
      <c r="K31" s="177">
        <f>K22-2*(K8-K10)-2</f>
        <v>847</v>
      </c>
      <c r="L31" s="177">
        <f>L22-2*(L8-L10)-2</f>
        <v>855</v>
      </c>
      <c r="M31" s="115">
        <f>M22-2*(M8-M10)</f>
        <v>870</v>
      </c>
      <c r="O31" s="115">
        <f>O22-2*(O8-O10)-2</f>
        <v>846.8</v>
      </c>
      <c r="P31" s="115">
        <f>P22-2*(P8-P10)-2</f>
        <v>849</v>
      </c>
      <c r="Q31" s="116">
        <f>Q22-2*(F8-Q10)-2</f>
        <v>856</v>
      </c>
    </row>
    <row r="32" spans="1:17" hidden="1">
      <c r="B32" s="10"/>
      <c r="C32" s="103"/>
      <c r="D32" s="104"/>
      <c r="E32" s="11"/>
      <c r="F32" s="197">
        <f>F22-2*(F8-F10)-4</f>
        <v>845</v>
      </c>
      <c r="G32" s="157">
        <f>G22-2*(F8-G10)-4</f>
        <v>856</v>
      </c>
      <c r="H32" s="172">
        <f>H22-2*(H8-H10)-4</f>
        <v>847</v>
      </c>
      <c r="I32" s="172">
        <f>I22-2*(I8-I10)-4</f>
        <v>849</v>
      </c>
      <c r="J32" s="117">
        <f>J22-2*(J8-J10)-4</f>
        <v>836</v>
      </c>
      <c r="K32" s="177">
        <f t="shared" ref="K32:L32" si="12">K22-2*(K8-K10)-4</f>
        <v>845</v>
      </c>
      <c r="L32" s="177">
        <f t="shared" si="12"/>
        <v>853</v>
      </c>
      <c r="M32" s="117">
        <f>M22-2*(M8-M10)-2</f>
        <v>868</v>
      </c>
      <c r="O32" s="117">
        <f>O22-2*(O8-O10)-4</f>
        <v>844.8</v>
      </c>
      <c r="P32" s="117">
        <f>P22-2*(P8-P10)-4</f>
        <v>847</v>
      </c>
      <c r="Q32" s="118">
        <f>Q22-2*(F8-Q10)-4</f>
        <v>854</v>
      </c>
    </row>
    <row r="33" spans="2:17" ht="15.75" hidden="1" thickBot="1">
      <c r="B33" s="10"/>
      <c r="C33" s="103"/>
      <c r="D33" s="104"/>
      <c r="E33" s="11"/>
      <c r="F33" s="198">
        <f>F22-2*(F8-F9)</f>
        <v>833</v>
      </c>
      <c r="G33" s="158">
        <f>G22-2*(F8-G9)</f>
        <v>844</v>
      </c>
      <c r="H33" s="173">
        <f t="shared" ref="H33:P33" si="13">H22-2*(H8-H9)</f>
        <v>836</v>
      </c>
      <c r="I33" s="173">
        <f t="shared" si="13"/>
        <v>837</v>
      </c>
      <c r="J33" s="119">
        <f t="shared" si="13"/>
        <v>824</v>
      </c>
      <c r="K33" s="194">
        <f t="shared" si="13"/>
        <v>833</v>
      </c>
      <c r="L33" s="194">
        <f t="shared" si="13"/>
        <v>840</v>
      </c>
      <c r="M33" s="119">
        <f t="shared" si="13"/>
        <v>852</v>
      </c>
      <c r="O33" s="119">
        <f t="shared" si="13"/>
        <v>834</v>
      </c>
      <c r="P33" s="119">
        <f t="shared" si="13"/>
        <v>836</v>
      </c>
      <c r="Q33" s="120">
        <f>Q22-2*(F8-Q9)</f>
        <v>844</v>
      </c>
    </row>
    <row r="34" spans="2:17" hidden="1">
      <c r="B34" s="10"/>
      <c r="C34" s="103"/>
      <c r="D34" s="104"/>
      <c r="E34" s="11"/>
      <c r="F34" s="199">
        <f t="shared" ref="F34:P34" si="14">F22-F30</f>
        <v>0</v>
      </c>
      <c r="G34" s="159">
        <f t="shared" si="14"/>
        <v>0.33333333333337123</v>
      </c>
      <c r="H34" s="174">
        <f t="shared" si="14"/>
        <v>0.66666666666662877</v>
      </c>
      <c r="I34" s="174">
        <f t="shared" si="14"/>
        <v>0.66666666666662877</v>
      </c>
      <c r="J34" s="121">
        <f t="shared" si="14"/>
        <v>0.33333333333337123</v>
      </c>
      <c r="K34" s="195">
        <f t="shared" si="14"/>
        <v>0</v>
      </c>
      <c r="L34" s="195">
        <f t="shared" si="14"/>
        <v>0.66666666666662877</v>
      </c>
      <c r="M34" s="121">
        <f t="shared" si="14"/>
        <v>0</v>
      </c>
      <c r="O34" s="121">
        <f t="shared" si="14"/>
        <v>0.2666666666667652</v>
      </c>
      <c r="P34" s="121">
        <f t="shared" si="14"/>
        <v>0.66666666666662877</v>
      </c>
      <c r="Q34" s="122">
        <f>Q22-Q30</f>
        <v>0.33333333333337123</v>
      </c>
    </row>
    <row r="35" spans="2:17" hidden="1">
      <c r="B35" s="10"/>
      <c r="C35" s="103"/>
      <c r="D35" s="104"/>
      <c r="E35" s="11"/>
      <c r="F35" s="197">
        <f t="shared" ref="F35:P35" si="15">F24-F31</f>
        <v>0</v>
      </c>
      <c r="G35" s="157">
        <f t="shared" si="15"/>
        <v>0</v>
      </c>
      <c r="H35" s="172">
        <f t="shared" si="15"/>
        <v>0</v>
      </c>
      <c r="I35" s="172">
        <f t="shared" si="15"/>
        <v>0</v>
      </c>
      <c r="J35" s="115">
        <f t="shared" si="15"/>
        <v>0</v>
      </c>
      <c r="K35" s="177">
        <f t="shared" si="15"/>
        <v>0</v>
      </c>
      <c r="L35" s="177">
        <f t="shared" si="15"/>
        <v>0</v>
      </c>
      <c r="M35" s="115">
        <f t="shared" si="15"/>
        <v>0</v>
      </c>
      <c r="O35" s="115">
        <f t="shared" si="15"/>
        <v>-0.79999999999995453</v>
      </c>
      <c r="P35" s="115">
        <f t="shared" si="15"/>
        <v>0</v>
      </c>
      <c r="Q35" s="116">
        <f>Q24-Q31</f>
        <v>0</v>
      </c>
    </row>
    <row r="36" spans="2:17" hidden="1">
      <c r="B36" s="10"/>
      <c r="C36" s="103"/>
      <c r="D36" s="104"/>
      <c r="E36" s="11"/>
      <c r="F36" s="197">
        <f t="shared" ref="F36:P36" si="16">F26-F32</f>
        <v>0</v>
      </c>
      <c r="G36" s="157">
        <f t="shared" si="16"/>
        <v>0</v>
      </c>
      <c r="H36" s="172">
        <f t="shared" si="16"/>
        <v>0</v>
      </c>
      <c r="I36" s="172">
        <f t="shared" si="16"/>
        <v>0</v>
      </c>
      <c r="J36" s="117">
        <f t="shared" si="16"/>
        <v>0</v>
      </c>
      <c r="K36" s="177">
        <f t="shared" si="16"/>
        <v>0</v>
      </c>
      <c r="L36" s="177">
        <f t="shared" si="16"/>
        <v>0</v>
      </c>
      <c r="M36" s="117">
        <f t="shared" si="16"/>
        <v>0</v>
      </c>
      <c r="O36" s="117">
        <f t="shared" si="16"/>
        <v>-0.79999999999995453</v>
      </c>
      <c r="P36" s="117">
        <f t="shared" si="16"/>
        <v>0</v>
      </c>
      <c r="Q36" s="118">
        <f>Q26-Q32</f>
        <v>0</v>
      </c>
    </row>
    <row r="37" spans="2:17" hidden="1">
      <c r="B37" s="10"/>
      <c r="C37" s="103"/>
      <c r="D37" s="104"/>
      <c r="E37" s="11"/>
      <c r="F37" s="204">
        <f t="shared" ref="F37:P37" si="17">F28-F33</f>
        <v>-2</v>
      </c>
      <c r="G37" s="157">
        <f t="shared" si="17"/>
        <v>0</v>
      </c>
      <c r="H37" s="172">
        <f t="shared" si="17"/>
        <v>0</v>
      </c>
      <c r="I37" s="172">
        <f t="shared" si="17"/>
        <v>0</v>
      </c>
      <c r="J37" s="205">
        <f t="shared" si="17"/>
        <v>0</v>
      </c>
      <c r="K37" s="177">
        <f t="shared" si="17"/>
        <v>-2</v>
      </c>
      <c r="L37" s="177">
        <f t="shared" si="17"/>
        <v>0</v>
      </c>
      <c r="M37" s="205">
        <f t="shared" si="17"/>
        <v>0</v>
      </c>
      <c r="O37" s="205">
        <f t="shared" si="17"/>
        <v>0</v>
      </c>
      <c r="P37" s="205">
        <f t="shared" si="17"/>
        <v>0</v>
      </c>
      <c r="Q37" s="206">
        <f>Q28-Q33</f>
        <v>0</v>
      </c>
    </row>
    <row r="38" spans="2:17">
      <c r="E38" s="14" t="s">
        <v>98</v>
      </c>
      <c r="F38" s="207">
        <f>((F23+F24)*2)*F5/1000</f>
        <v>17.693999999999999</v>
      </c>
      <c r="G38" s="207">
        <f>((G23+G24)*2)*F5/1000</f>
        <v>17.748000000000001</v>
      </c>
      <c r="H38" s="207">
        <f>((H23+H24)*2)*F5/1000</f>
        <v>17.693999999999999</v>
      </c>
      <c r="I38" s="207">
        <f>((I23+I24)*2)*F5/1000</f>
        <v>17.706</v>
      </c>
      <c r="J38" s="207">
        <f>((J23+J24)*2)*F5/1000</f>
        <v>17.628</v>
      </c>
      <c r="K38" s="207">
        <f>((K23+K24)*2)*F5/1000</f>
        <v>17.712</v>
      </c>
      <c r="L38" s="207">
        <f>((L23+L24)*2)*F5/1000</f>
        <v>17.748000000000001</v>
      </c>
      <c r="M38" s="207">
        <f>((M23+M24)*2)*F5/1000</f>
        <v>18.161999999999999</v>
      </c>
      <c r="O38" s="207">
        <f>((O23+O24)*2)*F5/1000</f>
        <v>17.690999999999999</v>
      </c>
      <c r="P38" s="207">
        <f>((P23+P24)*2)*F5/1000</f>
        <v>17.709</v>
      </c>
      <c r="Q38" s="207">
        <f>((Q23+Q24)*2)*F5/1000</f>
        <v>17.751000000000001</v>
      </c>
    </row>
    <row r="39" spans="2:17">
      <c r="E39" s="14" t="s">
        <v>97</v>
      </c>
      <c r="F39" s="207">
        <f t="shared" ref="F39:P39" si="18">((F25+F26)*2)/1000</f>
        <v>5.89</v>
      </c>
      <c r="G39" s="207">
        <f t="shared" si="18"/>
        <v>5.9080000000000004</v>
      </c>
      <c r="H39" s="207">
        <f t="shared" si="18"/>
        <v>5.89</v>
      </c>
      <c r="I39" s="207">
        <f t="shared" si="18"/>
        <v>5.8940000000000001</v>
      </c>
      <c r="J39" s="207">
        <f t="shared" si="18"/>
        <v>5.8680000000000003</v>
      </c>
      <c r="K39" s="207">
        <f t="shared" si="18"/>
        <v>5.8959999999999999</v>
      </c>
      <c r="L39" s="207">
        <f t="shared" si="18"/>
        <v>5.9080000000000004</v>
      </c>
      <c r="M39" s="207">
        <f t="shared" si="18"/>
        <v>6.0460000000000003</v>
      </c>
      <c r="O39" s="207">
        <f t="shared" si="18"/>
        <v>5.8890000000000002</v>
      </c>
      <c r="P39" s="207">
        <f t="shared" si="18"/>
        <v>5.8959999999999999</v>
      </c>
      <c r="Q39" s="207">
        <f>((Q25+Q26)*2)/1000</f>
        <v>5.9089999999999998</v>
      </c>
    </row>
    <row r="40" spans="2:17">
      <c r="B40" s="235" t="s">
        <v>70</v>
      </c>
      <c r="C40" s="236"/>
      <c r="D40" s="236"/>
      <c r="E40" s="237"/>
      <c r="F40" s="236"/>
      <c r="G40" s="236"/>
      <c r="H40" s="236"/>
      <c r="I40" s="236"/>
      <c r="J40" s="236"/>
      <c r="K40" s="236"/>
      <c r="L40" s="236"/>
      <c r="M40" s="72"/>
    </row>
    <row r="41" spans="2:17">
      <c r="B41" s="235"/>
      <c r="C41" s="236"/>
      <c r="D41" s="236"/>
      <c r="E41" s="237"/>
      <c r="F41" s="236"/>
      <c r="G41" s="236"/>
      <c r="H41" s="236"/>
      <c r="I41" s="236"/>
      <c r="J41" s="236"/>
      <c r="K41" s="236"/>
      <c r="L41" s="236"/>
      <c r="M41" s="72"/>
    </row>
    <row r="42" spans="2:17" ht="30.75" customHeight="1">
      <c r="B42" s="235"/>
      <c r="C42" s="236"/>
      <c r="D42" s="236"/>
      <c r="E42" s="237"/>
      <c r="F42" s="236"/>
      <c r="G42" s="236"/>
      <c r="H42" s="236"/>
      <c r="I42" s="236"/>
      <c r="J42" s="236"/>
      <c r="K42" s="236"/>
      <c r="L42" s="236"/>
      <c r="M42" s="72"/>
    </row>
  </sheetData>
  <mergeCells count="45">
    <mergeCell ref="C5:D5"/>
    <mergeCell ref="C6:D6"/>
    <mergeCell ref="B3:B6"/>
    <mergeCell ref="C3:C4"/>
    <mergeCell ref="B8:B19"/>
    <mergeCell ref="C14:C16"/>
    <mergeCell ref="C17:C19"/>
    <mergeCell ref="C8:C10"/>
    <mergeCell ref="C11:C13"/>
    <mergeCell ref="F16:L16"/>
    <mergeCell ref="F19:J19"/>
    <mergeCell ref="K19:L19"/>
    <mergeCell ref="F17:J17"/>
    <mergeCell ref="K18:L18"/>
    <mergeCell ref="F18:J18"/>
    <mergeCell ref="K11:L11"/>
    <mergeCell ref="K12:L12"/>
    <mergeCell ref="K14:L14"/>
    <mergeCell ref="K15:L15"/>
    <mergeCell ref="F12:J12"/>
    <mergeCell ref="F13:L13"/>
    <mergeCell ref="F14:J14"/>
    <mergeCell ref="F15:J15"/>
    <mergeCell ref="F11:J11"/>
    <mergeCell ref="O17:Q17"/>
    <mergeCell ref="O18:Q18"/>
    <mergeCell ref="O19:Q19"/>
    <mergeCell ref="B40:L42"/>
    <mergeCell ref="B21:B28"/>
    <mergeCell ref="C21:C22"/>
    <mergeCell ref="C23:C24"/>
    <mergeCell ref="C25:C26"/>
    <mergeCell ref="K17:L17"/>
    <mergeCell ref="O11:Q11"/>
    <mergeCell ref="O12:Q12"/>
    <mergeCell ref="O13:Q13"/>
    <mergeCell ref="O14:Q14"/>
    <mergeCell ref="O15:Q15"/>
    <mergeCell ref="O1:Q1"/>
    <mergeCell ref="F3:Q3"/>
    <mergeCell ref="F4:Q4"/>
    <mergeCell ref="F5:Q5"/>
    <mergeCell ref="F6:Q6"/>
    <mergeCell ref="K1:L1"/>
    <mergeCell ref="F1:J1"/>
  </mergeCells>
  <hyperlinks>
    <hyperlink ref="D2" r:id="rId1"/>
  </hyperlinks>
  <pageMargins left="0.72" right="0.85" top="0.74803149606299213" bottom="0.74803149606299213" header="0.31496062992125984" footer="0.31496062992125984"/>
  <pageSetup paperSize="9" orientation="landscape" horizontalDpi="20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G5"/>
  <sheetViews>
    <sheetView workbookViewId="0">
      <selection activeCell="C17" sqref="C17"/>
    </sheetView>
  </sheetViews>
  <sheetFormatPr defaultRowHeight="15"/>
  <cols>
    <col min="1" max="1" width="53.140625" style="33" customWidth="1"/>
    <col min="2" max="7" width="10.7109375" style="33" customWidth="1"/>
    <col min="8" max="16384" width="9.140625" style="33"/>
  </cols>
  <sheetData>
    <row r="1" spans="1:7" s="27" customFormat="1" ht="15" customHeight="1">
      <c r="A1" s="273" t="s">
        <v>62</v>
      </c>
      <c r="B1" s="270" t="s">
        <v>59</v>
      </c>
      <c r="C1" s="270"/>
      <c r="D1" s="275" t="s">
        <v>60</v>
      </c>
      <c r="E1" s="276"/>
      <c r="F1" s="276"/>
      <c r="G1" s="276"/>
    </row>
    <row r="2" spans="1:7" s="29" customFormat="1" ht="39.75" customHeight="1">
      <c r="A2" s="274"/>
      <c r="B2" s="28" t="s">
        <v>53</v>
      </c>
      <c r="C2" s="28" t="s">
        <v>54</v>
      </c>
      <c r="D2" s="35" t="s">
        <v>61</v>
      </c>
      <c r="E2" s="34" t="s">
        <v>53</v>
      </c>
      <c r="F2" s="34" t="s">
        <v>54</v>
      </c>
      <c r="G2" s="34" t="s">
        <v>55</v>
      </c>
    </row>
    <row r="3" spans="1:7">
      <c r="A3" s="30" t="s">
        <v>56</v>
      </c>
      <c r="B3" s="271">
        <v>1000</v>
      </c>
      <c r="C3" s="271">
        <v>1000</v>
      </c>
      <c r="D3" s="31">
        <v>-6</v>
      </c>
      <c r="E3" s="32">
        <f>B3+D3</f>
        <v>994</v>
      </c>
      <c r="F3" s="32">
        <f>C3+D3</f>
        <v>994</v>
      </c>
      <c r="G3" s="32">
        <f>E3*F3/1000000</f>
        <v>0.98803600000000003</v>
      </c>
    </row>
    <row r="4" spans="1:7">
      <c r="A4" s="30" t="s">
        <v>57</v>
      </c>
      <c r="B4" s="272"/>
      <c r="C4" s="272"/>
      <c r="D4" s="32">
        <v>-29</v>
      </c>
      <c r="E4" s="32">
        <f>B3+D4</f>
        <v>971</v>
      </c>
      <c r="F4" s="32">
        <f>C3+D4</f>
        <v>971</v>
      </c>
      <c r="G4" s="32">
        <f t="shared" ref="G4:G5" si="0">E4*F4/1000000</f>
        <v>0.94284100000000004</v>
      </c>
    </row>
    <row r="5" spans="1:7">
      <c r="A5" s="30" t="s">
        <v>58</v>
      </c>
      <c r="B5" s="272"/>
      <c r="C5" s="272"/>
      <c r="D5" s="32">
        <v>-34</v>
      </c>
      <c r="E5" s="32">
        <f>B3+D5</f>
        <v>966</v>
      </c>
      <c r="F5" s="32">
        <f>C3+D5</f>
        <v>966</v>
      </c>
      <c r="G5" s="32">
        <f t="shared" si="0"/>
        <v>0.93315599999999999</v>
      </c>
    </row>
  </sheetData>
  <mergeCells count="5">
    <mergeCell ref="B1:C1"/>
    <mergeCell ref="B3:B5"/>
    <mergeCell ref="C3:C5"/>
    <mergeCell ref="A1:A2"/>
    <mergeCell ref="D1:G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G14"/>
  <sheetViews>
    <sheetView workbookViewId="0">
      <selection activeCell="A17" sqref="A16:A17"/>
    </sheetView>
  </sheetViews>
  <sheetFormatPr defaultRowHeight="15"/>
  <cols>
    <col min="1" max="1" width="42.5703125" customWidth="1"/>
    <col min="2" max="2" width="3.140625" customWidth="1"/>
    <col min="3" max="3" width="8.140625" customWidth="1"/>
    <col min="4" max="4" width="5.5703125" customWidth="1"/>
    <col min="5" max="5" width="43" customWidth="1"/>
    <col min="6" max="6" width="3.42578125" customWidth="1"/>
    <col min="7" max="7" width="8.7109375" customWidth="1"/>
  </cols>
  <sheetData>
    <row r="1" spans="1:7" s="49" customFormat="1" ht="27.75" customHeight="1">
      <c r="E1" s="2" t="s">
        <v>0</v>
      </c>
    </row>
    <row r="2" spans="1:7" ht="15.75" thickBot="1"/>
    <row r="3" spans="1:7">
      <c r="A3" s="56" t="s">
        <v>81</v>
      </c>
      <c r="B3" s="57"/>
      <c r="C3" s="58"/>
      <c r="E3" s="287" t="s">
        <v>81</v>
      </c>
      <c r="F3" s="288"/>
      <c r="G3" s="289"/>
    </row>
    <row r="4" spans="1:7" ht="18" thickBot="1">
      <c r="A4" s="59" t="s">
        <v>84</v>
      </c>
      <c r="B4" s="61">
        <v>2</v>
      </c>
      <c r="C4" s="60" t="s">
        <v>83</v>
      </c>
      <c r="E4" s="54" t="s">
        <v>85</v>
      </c>
      <c r="F4" s="62">
        <v>4</v>
      </c>
      <c r="G4" s="55" t="s">
        <v>83</v>
      </c>
    </row>
    <row r="5" spans="1:7" ht="15.75">
      <c r="A5" s="53" t="s">
        <v>71</v>
      </c>
      <c r="B5" s="281">
        <v>2050</v>
      </c>
      <c r="C5" s="282"/>
      <c r="E5" s="53" t="s">
        <v>71</v>
      </c>
      <c r="F5" s="281">
        <v>2050</v>
      </c>
      <c r="G5" s="282"/>
    </row>
    <row r="6" spans="1:7" ht="15.75">
      <c r="A6" s="50" t="s">
        <v>72</v>
      </c>
      <c r="B6" s="283">
        <v>905</v>
      </c>
      <c r="C6" s="284"/>
      <c r="E6" s="50" t="s">
        <v>72</v>
      </c>
      <c r="F6" s="283">
        <v>1810</v>
      </c>
      <c r="G6" s="284"/>
    </row>
    <row r="7" spans="1:7" ht="15.75">
      <c r="A7" s="63" t="s">
        <v>86</v>
      </c>
      <c r="B7" s="277">
        <f>B6-1</f>
        <v>904</v>
      </c>
      <c r="C7" s="278"/>
      <c r="E7" s="63" t="s">
        <v>86</v>
      </c>
      <c r="F7" s="277">
        <f>F6-1</f>
        <v>1809</v>
      </c>
      <c r="G7" s="278"/>
    </row>
    <row r="8" spans="1:7" ht="15.75">
      <c r="A8" s="50" t="s">
        <v>74</v>
      </c>
      <c r="B8" s="277">
        <f>B5-58</f>
        <v>1992</v>
      </c>
      <c r="C8" s="278"/>
      <c r="E8" s="52" t="s">
        <v>73</v>
      </c>
      <c r="F8" s="285">
        <f>F5-58</f>
        <v>1992</v>
      </c>
      <c r="G8" s="286"/>
    </row>
    <row r="9" spans="1:7" ht="15.75">
      <c r="A9" s="50" t="s">
        <v>76</v>
      </c>
      <c r="B9" s="277">
        <f>(B6-10)/2</f>
        <v>447.5</v>
      </c>
      <c r="C9" s="278"/>
      <c r="E9" s="50" t="s">
        <v>75</v>
      </c>
      <c r="F9" s="277">
        <f>(F6-16)/4</f>
        <v>448.5</v>
      </c>
      <c r="G9" s="278"/>
    </row>
    <row r="10" spans="1:7" ht="15.75">
      <c r="A10" s="50" t="s">
        <v>82</v>
      </c>
      <c r="B10" s="277">
        <f>B9-51</f>
        <v>396.5</v>
      </c>
      <c r="C10" s="278"/>
      <c r="E10" s="50" t="s">
        <v>82</v>
      </c>
      <c r="F10" s="285">
        <f>F9-51</f>
        <v>397.5</v>
      </c>
      <c r="G10" s="286"/>
    </row>
    <row r="11" spans="1:7" ht="15.75">
      <c r="A11" s="50" t="s">
        <v>77</v>
      </c>
      <c r="B11" s="277">
        <f>B9-37</f>
        <v>410.5</v>
      </c>
      <c r="C11" s="278"/>
      <c r="E11" s="50" t="s">
        <v>77</v>
      </c>
      <c r="F11" s="277">
        <f>F9-37</f>
        <v>411.5</v>
      </c>
      <c r="G11" s="278"/>
    </row>
    <row r="12" spans="1:7" ht="15.75">
      <c r="A12" s="50" t="s">
        <v>78</v>
      </c>
      <c r="B12" s="277">
        <f>B8-93</f>
        <v>1899</v>
      </c>
      <c r="C12" s="278"/>
      <c r="E12" s="50" t="s">
        <v>78</v>
      </c>
      <c r="F12" s="277">
        <f>F8-93</f>
        <v>1899</v>
      </c>
      <c r="G12" s="278"/>
    </row>
    <row r="13" spans="1:7" ht="15.75">
      <c r="A13" s="50" t="s">
        <v>79</v>
      </c>
      <c r="B13" s="277">
        <f>B9-39</f>
        <v>408.5</v>
      </c>
      <c r="C13" s="278"/>
      <c r="E13" s="50" t="s">
        <v>79</v>
      </c>
      <c r="F13" s="277">
        <f>F9-39</f>
        <v>409.5</v>
      </c>
      <c r="G13" s="278"/>
    </row>
    <row r="14" spans="1:7" ht="16.5" thickBot="1">
      <c r="A14" s="51" t="s">
        <v>80</v>
      </c>
      <c r="B14" s="279">
        <f>B8-95</f>
        <v>1897</v>
      </c>
      <c r="C14" s="280"/>
      <c r="E14" s="51" t="s">
        <v>80</v>
      </c>
      <c r="F14" s="279">
        <f>F8-95</f>
        <v>1897</v>
      </c>
      <c r="G14" s="280"/>
    </row>
  </sheetData>
  <mergeCells count="21">
    <mergeCell ref="B11:C11"/>
    <mergeCell ref="B12:C12"/>
    <mergeCell ref="E3:G3"/>
    <mergeCell ref="B5:C5"/>
    <mergeCell ref="B6:C6"/>
    <mergeCell ref="F13:G13"/>
    <mergeCell ref="F14:G14"/>
    <mergeCell ref="B13:C13"/>
    <mergeCell ref="B14:C14"/>
    <mergeCell ref="F5:G5"/>
    <mergeCell ref="F6:G6"/>
    <mergeCell ref="F7:G7"/>
    <mergeCell ref="F8:G8"/>
    <mergeCell ref="F9:G9"/>
    <mergeCell ref="F10:G10"/>
    <mergeCell ref="F11:G11"/>
    <mergeCell ref="F12:G12"/>
    <mergeCell ref="B7:C7"/>
    <mergeCell ref="B8:C8"/>
    <mergeCell ref="B9:C9"/>
    <mergeCell ref="B10:C10"/>
  </mergeCells>
  <hyperlinks>
    <hyperlink ref="E1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17" sqref="A16:A17"/>
    </sheetView>
  </sheetViews>
  <sheetFormatPr defaultRowHeight="15"/>
  <cols>
    <col min="1" max="1" width="42.5703125" customWidth="1"/>
    <col min="2" max="2" width="3.140625" customWidth="1"/>
    <col min="3" max="3" width="8.140625" customWidth="1"/>
    <col min="4" max="4" width="5.5703125" customWidth="1"/>
    <col min="5" max="5" width="43" customWidth="1"/>
    <col min="6" max="6" width="3.42578125" customWidth="1"/>
    <col min="7" max="7" width="8.7109375" customWidth="1"/>
  </cols>
  <sheetData>
    <row r="1" spans="1:7" s="49" customFormat="1" ht="27.75" customHeight="1">
      <c r="E1" s="2" t="s">
        <v>0</v>
      </c>
    </row>
    <row r="2" spans="1:7" ht="15.75" thickBot="1"/>
    <row r="3" spans="1:7">
      <c r="A3" s="64" t="s">
        <v>87</v>
      </c>
      <c r="B3" s="65"/>
      <c r="C3" s="66"/>
      <c r="E3" s="287" t="s">
        <v>87</v>
      </c>
      <c r="F3" s="288"/>
      <c r="G3" s="289"/>
    </row>
    <row r="4" spans="1:7" ht="18" thickBot="1">
      <c r="A4" s="59" t="s">
        <v>84</v>
      </c>
      <c r="B4" s="61">
        <v>2</v>
      </c>
      <c r="C4" s="60" t="s">
        <v>83</v>
      </c>
      <c r="E4" s="54" t="s">
        <v>85</v>
      </c>
      <c r="F4" s="62">
        <v>4</v>
      </c>
      <c r="G4" s="55" t="s">
        <v>83</v>
      </c>
    </row>
    <row r="5" spans="1:7" ht="15.75">
      <c r="A5" s="53" t="s">
        <v>71</v>
      </c>
      <c r="B5" s="281">
        <v>2050</v>
      </c>
      <c r="C5" s="282"/>
      <c r="E5" s="53" t="s">
        <v>71</v>
      </c>
      <c r="F5" s="281">
        <v>2050</v>
      </c>
      <c r="G5" s="282"/>
    </row>
    <row r="6" spans="1:7" ht="15.75">
      <c r="A6" s="50" t="s">
        <v>72</v>
      </c>
      <c r="B6" s="283">
        <v>905</v>
      </c>
      <c r="C6" s="284"/>
      <c r="E6" s="50" t="s">
        <v>72</v>
      </c>
      <c r="F6" s="283">
        <v>1810</v>
      </c>
      <c r="G6" s="284"/>
    </row>
    <row r="7" spans="1:7" ht="15.75">
      <c r="A7" s="63" t="s">
        <v>86</v>
      </c>
      <c r="B7" s="277">
        <f>B6-1</f>
        <v>904</v>
      </c>
      <c r="C7" s="278"/>
      <c r="E7" s="63" t="s">
        <v>86</v>
      </c>
      <c r="F7" s="277">
        <f>F6-1</f>
        <v>1809</v>
      </c>
      <c r="G7" s="278"/>
    </row>
    <row r="8" spans="1:7" ht="15.75">
      <c r="A8" s="50" t="s">
        <v>74</v>
      </c>
      <c r="B8" s="277">
        <f>B5-58</f>
        <v>1992</v>
      </c>
      <c r="C8" s="278"/>
      <c r="E8" s="52" t="s">
        <v>73</v>
      </c>
      <c r="F8" s="285">
        <f>F5-58</f>
        <v>1992</v>
      </c>
      <c r="G8" s="286"/>
    </row>
    <row r="9" spans="1:7" ht="15.75">
      <c r="A9" s="50" t="s">
        <v>76</v>
      </c>
      <c r="B9" s="277">
        <f>(B6-10)/2</f>
        <v>447.5</v>
      </c>
      <c r="C9" s="278"/>
      <c r="E9" s="50" t="s">
        <v>75</v>
      </c>
      <c r="F9" s="277">
        <f>(F6-16)/4</f>
        <v>448.5</v>
      </c>
      <c r="G9" s="278"/>
    </row>
    <row r="10" spans="1:7" ht="15.75">
      <c r="A10" s="50" t="s">
        <v>82</v>
      </c>
      <c r="B10" s="277">
        <f>B9-51</f>
        <v>396.5</v>
      </c>
      <c r="C10" s="278"/>
      <c r="E10" s="50" t="s">
        <v>82</v>
      </c>
      <c r="F10" s="285">
        <f>F9-51</f>
        <v>397.5</v>
      </c>
      <c r="G10" s="286"/>
    </row>
    <row r="11" spans="1:7" ht="15.75">
      <c r="A11" s="50" t="s">
        <v>77</v>
      </c>
      <c r="B11" s="277">
        <f>B9-33</f>
        <v>414.5</v>
      </c>
      <c r="C11" s="278"/>
      <c r="E11" s="50" t="s">
        <v>77</v>
      </c>
      <c r="F11" s="277">
        <f>F9-33</f>
        <v>415.5</v>
      </c>
      <c r="G11" s="278"/>
    </row>
    <row r="12" spans="1:7" ht="15.75">
      <c r="A12" s="50" t="s">
        <v>78</v>
      </c>
      <c r="B12" s="277">
        <f>B8-93</f>
        <v>1899</v>
      </c>
      <c r="C12" s="278"/>
      <c r="E12" s="50" t="s">
        <v>78</v>
      </c>
      <c r="F12" s="277">
        <f>F8-93</f>
        <v>1899</v>
      </c>
      <c r="G12" s="278"/>
    </row>
    <row r="13" spans="1:7" ht="15.75">
      <c r="A13" s="50" t="s">
        <v>79</v>
      </c>
      <c r="B13" s="277">
        <f>B9-35</f>
        <v>412.5</v>
      </c>
      <c r="C13" s="278"/>
      <c r="E13" s="50" t="s">
        <v>79</v>
      </c>
      <c r="F13" s="277">
        <f>F9-35</f>
        <v>413.5</v>
      </c>
      <c r="G13" s="278"/>
    </row>
    <row r="14" spans="1:7" ht="16.5" thickBot="1">
      <c r="A14" s="51" t="s">
        <v>80</v>
      </c>
      <c r="B14" s="279">
        <f>B8-95</f>
        <v>1897</v>
      </c>
      <c r="C14" s="280"/>
      <c r="E14" s="51" t="s">
        <v>80</v>
      </c>
      <c r="F14" s="279">
        <f>F8-95</f>
        <v>1897</v>
      </c>
      <c r="G14" s="280"/>
    </row>
  </sheetData>
  <mergeCells count="21">
    <mergeCell ref="B7:C7"/>
    <mergeCell ref="F7:G7"/>
    <mergeCell ref="E3:G3"/>
    <mergeCell ref="B5:C5"/>
    <mergeCell ref="F5:G5"/>
    <mergeCell ref="B6:C6"/>
    <mergeCell ref="F6:G6"/>
    <mergeCell ref="B8:C8"/>
    <mergeCell ref="F8:G8"/>
    <mergeCell ref="B9:C9"/>
    <mergeCell ref="F9:G9"/>
    <mergeCell ref="B10:C10"/>
    <mergeCell ref="F10:G10"/>
    <mergeCell ref="B14:C14"/>
    <mergeCell ref="F14:G14"/>
    <mergeCell ref="B11:C11"/>
    <mergeCell ref="F11:G11"/>
    <mergeCell ref="B12:C12"/>
    <mergeCell ref="F12:G12"/>
    <mergeCell ref="B13:C13"/>
    <mergeCell ref="F13:G13"/>
  </mergeCells>
  <hyperlinks>
    <hyperlink ref="E1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Расчёт дверей GRANDIS</vt:lpstr>
      <vt:lpstr>Расчет фасадов GRANDIS</vt:lpstr>
      <vt:lpstr>складная С</vt:lpstr>
      <vt:lpstr>складная RH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GRANDIS</dc:creator>
  <cp:lastModifiedBy>Grand</cp:lastModifiedBy>
  <cp:lastPrinted>2019-07-05T05:08:39Z</cp:lastPrinted>
  <dcterms:created xsi:type="dcterms:W3CDTF">2013-09-25T12:20:12Z</dcterms:created>
  <dcterms:modified xsi:type="dcterms:W3CDTF">2021-05-19T07:52:51Z</dcterms:modified>
</cp:coreProperties>
</file>